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kajima DT\Desktop\filmora\ABC\原稿\"/>
    </mc:Choice>
  </mc:AlternateContent>
  <xr:revisionPtr revIDLastSave="0" documentId="8_{D85B86A5-7D2A-4BEF-AA5E-134B99C0FB1D}" xr6:coauthVersionLast="47" xr6:coauthVersionMax="47" xr10:uidLastSave="{00000000-0000-0000-0000-000000000000}"/>
  <bookViews>
    <workbookView xWindow="-108" yWindow="-108" windowWidth="23256" windowHeight="12456" firstSheet="1" activeTab="1" xr2:uid="{E69BD9D0-14A9-40DE-ABE6-73E3A2FCEEC1}"/>
  </bookViews>
  <sheets>
    <sheet name="月間PL通常（入力用）" sheetId="1" r:id="rId1"/>
    <sheet name="月間PL通常（入力用） (2)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G6" i="2" s="1"/>
  <c r="L5" i="2" s="1"/>
  <c r="G11" i="2"/>
  <c r="L4" i="2"/>
  <c r="C6" i="2"/>
  <c r="L9" i="2" s="1"/>
  <c r="G16" i="2" s="1"/>
  <c r="C9" i="2"/>
  <c r="B18" i="2" s="1"/>
  <c r="C13" i="2"/>
  <c r="B19" i="2" s="1"/>
  <c r="D19" i="2" s="1"/>
  <c r="C22" i="1"/>
  <c r="C41" i="1"/>
  <c r="B20" i="2" l="1"/>
  <c r="G12" i="2" s="1"/>
  <c r="L2" i="2"/>
  <c r="D18" i="2"/>
  <c r="D20" i="2" s="1"/>
  <c r="L6" i="2"/>
  <c r="F4" i="1"/>
  <c r="F6" i="1" s="1"/>
  <c r="F10" i="1" s="1"/>
  <c r="C23" i="1"/>
  <c r="E18" i="1"/>
  <c r="M7" i="2" l="1"/>
  <c r="L7" i="2" s="1"/>
  <c r="C20" i="2"/>
  <c r="L3" i="2"/>
  <c r="I5" i="1"/>
  <c r="I6" i="1"/>
  <c r="C25" i="1"/>
  <c r="C26" i="1" s="1"/>
  <c r="C31" i="1" s="1"/>
  <c r="C24" i="1"/>
  <c r="L8" i="2" l="1"/>
  <c r="M8" i="2" s="1"/>
  <c r="L10" i="2"/>
  <c r="M9" i="2"/>
  <c r="C7" i="1"/>
  <c r="C8" i="1" s="1"/>
  <c r="K9" i="1"/>
  <c r="K11" i="1"/>
  <c r="K12" i="1"/>
  <c r="K10" i="1"/>
  <c r="C15" i="1"/>
  <c r="E28" i="1" s="1"/>
  <c r="L14" i="2" l="1"/>
  <c r="M10" i="2"/>
  <c r="M6" i="2"/>
  <c r="M5" i="2"/>
  <c r="M4" i="2"/>
  <c r="C16" i="1"/>
  <c r="E26" i="1" s="1"/>
  <c r="M3" i="2" l="1"/>
  <c r="E23" i="1"/>
  <c r="E25" i="1"/>
  <c r="E24" i="1"/>
  <c r="C28" i="1"/>
  <c r="E22" i="1"/>
  <c r="C18" i="1"/>
  <c r="C19" i="1" s="1"/>
  <c r="E31" i="1"/>
  <c r="G13" i="2" l="1"/>
  <c r="G14" i="2" s="1"/>
  <c r="G15" i="2" s="1"/>
  <c r="G17" i="2" s="1"/>
  <c r="G18" i="2" s="1"/>
  <c r="E19" i="1"/>
  <c r="C20" i="1"/>
  <c r="E20" i="1" s="1"/>
  <c r="C30" i="1"/>
  <c r="E30" i="1" s="1"/>
  <c r="C32" i="1" l="1"/>
  <c r="E32" i="1" s="1"/>
  <c r="C38" i="1"/>
  <c r="C36" i="1"/>
  <c r="L13" i="2" l="1"/>
  <c r="C34" i="1"/>
  <c r="C43" i="1" s="1"/>
  <c r="C42" i="1" s="1"/>
  <c r="C44" i="1" s="1"/>
  <c r="C37" i="1"/>
  <c r="C39" i="1"/>
  <c r="L15" i="2" l="1"/>
  <c r="L16" i="2" s="1"/>
  <c r="C45" i="1"/>
  <c r="E34" i="1"/>
</calcChain>
</file>

<file path=xl/sharedStrings.xml><?xml version="1.0" encoding="utf-8"?>
<sst xmlns="http://schemas.openxmlformats.org/spreadsheetml/2006/main" count="168" uniqueCount="122">
  <si>
    <t>【損益計画想定（月間）】</t>
    <phoneticPr fontId="2"/>
  </si>
  <si>
    <t>この色の部分のみ記入</t>
    <rPh sb="2" eb="3">
      <t>イロ</t>
    </rPh>
    <rPh sb="4" eb="6">
      <t>ブブン</t>
    </rPh>
    <rPh sb="8" eb="10">
      <t>キニュウ</t>
    </rPh>
    <phoneticPr fontId="2"/>
  </si>
  <si>
    <t>ABC店舗にて記入</t>
    <rPh sb="3" eb="5">
      <t>テンポ</t>
    </rPh>
    <rPh sb="7" eb="9">
      <t>キニュウ</t>
    </rPh>
    <phoneticPr fontId="2"/>
  </si>
  <si>
    <t>坪数</t>
    <rPh sb="0" eb="1">
      <t>ツボ</t>
    </rPh>
    <rPh sb="1" eb="2">
      <t>スウ</t>
    </rPh>
    <phoneticPr fontId="2"/>
  </si>
  <si>
    <t>坪</t>
    <rPh sb="0" eb="1">
      <t>ツボ</t>
    </rPh>
    <phoneticPr fontId="2"/>
  </si>
  <si>
    <t>坪単価
（税込）</t>
    <rPh sb="0" eb="1">
      <t>ツボ</t>
    </rPh>
    <rPh sb="1" eb="3">
      <t>タンカ</t>
    </rPh>
    <rPh sb="5" eb="7">
      <t>ゼイコ</t>
    </rPh>
    <phoneticPr fontId="2"/>
  </si>
  <si>
    <t>円</t>
    <rPh sb="0" eb="1">
      <t>エン</t>
    </rPh>
    <phoneticPr fontId="2"/>
  </si>
  <si>
    <t>席数</t>
    <rPh sb="0" eb="2">
      <t>セキスウ</t>
    </rPh>
    <phoneticPr fontId="2"/>
  </si>
  <si>
    <t>席</t>
    <rPh sb="0" eb="1">
      <t>セキ</t>
    </rPh>
    <phoneticPr fontId="2"/>
  </si>
  <si>
    <t>家賃
（税込）</t>
    <rPh sb="0" eb="2">
      <t>ヤチン</t>
    </rPh>
    <rPh sb="4" eb="6">
      <t>ゼイコミ</t>
    </rPh>
    <phoneticPr fontId="2"/>
  </si>
  <si>
    <t>ゆったり席を取る場合、坪数÷1.5が席数、席間を狭くとる場合は、坪数÷２が席数</t>
    <rPh sb="4" eb="5">
      <t>セキ</t>
    </rPh>
    <rPh sb="6" eb="7">
      <t>ト</t>
    </rPh>
    <rPh sb="8" eb="10">
      <t>バアイ</t>
    </rPh>
    <rPh sb="11" eb="13">
      <t>ツボスウ</t>
    </rPh>
    <rPh sb="18" eb="20">
      <t>セキスウ</t>
    </rPh>
    <rPh sb="21" eb="23">
      <t>セキカン</t>
    </rPh>
    <rPh sb="24" eb="25">
      <t>セマ</t>
    </rPh>
    <rPh sb="28" eb="30">
      <t>バアイ</t>
    </rPh>
    <rPh sb="32" eb="34">
      <t>ツボスウ</t>
    </rPh>
    <rPh sb="37" eb="39">
      <t>セキスウ</t>
    </rPh>
    <phoneticPr fontId="2"/>
  </si>
  <si>
    <t>客単価</t>
    <rPh sb="0" eb="3">
      <t>キャクタンカ</t>
    </rPh>
    <phoneticPr fontId="2"/>
  </si>
  <si>
    <t>共益費</t>
    <rPh sb="0" eb="3">
      <t>キョウエキヒ</t>
    </rPh>
    <phoneticPr fontId="2"/>
  </si>
  <si>
    <t>居抜き</t>
    <rPh sb="0" eb="2">
      <t>イヌ</t>
    </rPh>
    <phoneticPr fontId="2"/>
  </si>
  <si>
    <t>回転</t>
    <rPh sb="0" eb="2">
      <t>カイテン</t>
    </rPh>
    <phoneticPr fontId="2"/>
  </si>
  <si>
    <t>営業日数</t>
    <rPh sb="0" eb="2">
      <t>エイギョウ</t>
    </rPh>
    <rPh sb="2" eb="4">
      <t>ニッスウ</t>
    </rPh>
    <phoneticPr fontId="2"/>
  </si>
  <si>
    <t>日</t>
    <rPh sb="0" eb="1">
      <t>ヒ</t>
    </rPh>
    <phoneticPr fontId="2"/>
  </si>
  <si>
    <t>家賃＋共益費</t>
    <rPh sb="0" eb="2">
      <t>ヤチン</t>
    </rPh>
    <rPh sb="3" eb="6">
      <t>キョウエキヒ</t>
    </rPh>
    <phoneticPr fontId="2"/>
  </si>
  <si>
    <t>スケルトン</t>
    <phoneticPr fontId="2"/>
  </si>
  <si>
    <t>日売り</t>
    <rPh sb="0" eb="1">
      <t>ヒ</t>
    </rPh>
    <rPh sb="1" eb="2">
      <t>ウ</t>
    </rPh>
    <phoneticPr fontId="2"/>
  </si>
  <si>
    <t>目標
食材原価率</t>
    <rPh sb="0" eb="2">
      <t>モクヒョウ</t>
    </rPh>
    <rPh sb="3" eb="5">
      <t>ショクザイ</t>
    </rPh>
    <rPh sb="5" eb="7">
      <t>ゲンカ</t>
    </rPh>
    <rPh sb="7" eb="8">
      <t>リツ</t>
    </rPh>
    <phoneticPr fontId="2"/>
  </si>
  <si>
    <t>※上記は一番簡易に求めるやり方です。</t>
    <rPh sb="1" eb="3">
      <t>ジョウキ</t>
    </rPh>
    <rPh sb="4" eb="6">
      <t>イチバン</t>
    </rPh>
    <rPh sb="6" eb="8">
      <t>カンイ</t>
    </rPh>
    <rPh sb="9" eb="10">
      <t>モト</t>
    </rPh>
    <rPh sb="14" eb="15">
      <t>カタ</t>
    </rPh>
    <phoneticPr fontId="2"/>
  </si>
  <si>
    <t>一日の回転数</t>
    <rPh sb="0" eb="2">
      <t>イチニチ</t>
    </rPh>
    <rPh sb="3" eb="6">
      <t>カイテンスウ</t>
    </rPh>
    <phoneticPr fontId="2"/>
  </si>
  <si>
    <t>回</t>
    <rPh sb="0" eb="1">
      <t>カイ</t>
    </rPh>
    <phoneticPr fontId="2"/>
  </si>
  <si>
    <t>自身の
給与目役</t>
    <rPh sb="0" eb="2">
      <t>ジシン</t>
    </rPh>
    <rPh sb="4" eb="6">
      <t>キュウヨ</t>
    </rPh>
    <rPh sb="6" eb="7">
      <t>メ</t>
    </rPh>
    <rPh sb="7" eb="8">
      <t>ヤク</t>
    </rPh>
    <phoneticPr fontId="2"/>
  </si>
  <si>
    <t>※家賃、客単価、席数、営業日数だけで、必要回転数がわかります。</t>
    <rPh sb="1" eb="3">
      <t>ヤチン</t>
    </rPh>
    <rPh sb="4" eb="7">
      <t>キャクタンカ</t>
    </rPh>
    <rPh sb="8" eb="10">
      <t>セキスウ</t>
    </rPh>
    <rPh sb="11" eb="13">
      <t>エイギョウ</t>
    </rPh>
    <rPh sb="13" eb="15">
      <t>ニッスウ</t>
    </rPh>
    <rPh sb="19" eb="21">
      <t>ヒツヨウ</t>
    </rPh>
    <rPh sb="21" eb="24">
      <t>カイテンスウ</t>
    </rPh>
    <phoneticPr fontId="2"/>
  </si>
  <si>
    <t>時給目安</t>
    <rPh sb="0" eb="2">
      <t>ジキュウ</t>
    </rPh>
    <rPh sb="2" eb="4">
      <t>メヤス</t>
    </rPh>
    <phoneticPr fontId="2"/>
  </si>
  <si>
    <t>返済年数</t>
    <rPh sb="0" eb="2">
      <t>ヘンサイ</t>
    </rPh>
    <rPh sb="2" eb="4">
      <t>ネンスウ</t>
    </rPh>
    <phoneticPr fontId="2"/>
  </si>
  <si>
    <t>年</t>
    <rPh sb="0" eb="1">
      <t>ネン</t>
    </rPh>
    <phoneticPr fontId="2"/>
  </si>
  <si>
    <t>客単価1200円の時の回転率</t>
  </si>
  <si>
    <t>日時シフトイン
時間（オーナー除く）</t>
    <rPh sb="0" eb="1">
      <t>ヒ</t>
    </rPh>
    <rPh sb="1" eb="2">
      <t>ジ</t>
    </rPh>
    <rPh sb="8" eb="10">
      <t>ジカン</t>
    </rPh>
    <rPh sb="15" eb="16">
      <t>ノゾ</t>
    </rPh>
    <phoneticPr fontId="2"/>
  </si>
  <si>
    <t>時間</t>
    <rPh sb="0" eb="2">
      <t>ジカン</t>
    </rPh>
    <phoneticPr fontId="2"/>
  </si>
  <si>
    <t>客単価2000円の時の回転率</t>
  </si>
  <si>
    <t>客単価4000円の時の回転率</t>
  </si>
  <si>
    <t>【月間収支計画】</t>
    <rPh sb="1" eb="3">
      <t>ゲッカン</t>
    </rPh>
    <rPh sb="3" eb="5">
      <t>シュウシ</t>
    </rPh>
    <rPh sb="5" eb="7">
      <t>ケイカク</t>
    </rPh>
    <phoneticPr fontId="2"/>
  </si>
  <si>
    <t>客単価6000円の時の回転率</t>
  </si>
  <si>
    <t>構成比率</t>
    <rPh sb="2" eb="4">
      <t>ヒリt</t>
    </rPh>
    <phoneticPr fontId="2"/>
  </si>
  <si>
    <t>コメント</t>
    <phoneticPr fontId="2"/>
  </si>
  <si>
    <t>飲食売上</t>
    <phoneticPr fontId="2"/>
  </si>
  <si>
    <t>円</t>
    <phoneticPr fontId="3"/>
  </si>
  <si>
    <t>売上</t>
    <rPh sb="0" eb="2">
      <t>ウリアg</t>
    </rPh>
    <phoneticPr fontId="2"/>
  </si>
  <si>
    <t>飲食原価</t>
    <phoneticPr fontId="2"/>
  </si>
  <si>
    <t>飲食売上の30％程度</t>
    <rPh sb="0" eb="2">
      <t>インショク</t>
    </rPh>
    <rPh sb="2" eb="4">
      <t>ウリアゲ</t>
    </rPh>
    <rPh sb="8" eb="10">
      <t>テイド</t>
    </rPh>
    <phoneticPr fontId="2"/>
  </si>
  <si>
    <r>
      <t xml:space="preserve">原価合計 </t>
    </r>
    <r>
      <rPr>
        <b/>
        <sz val="18"/>
        <color theme="1"/>
        <rFont val="HG丸ｺﾞｼｯｸM-PRO"/>
        <family val="3"/>
        <charset val="128"/>
      </rPr>
      <t>【F】</t>
    </r>
    <phoneticPr fontId="2"/>
  </si>
  <si>
    <t>粗利益 (売上ー原価合計)</t>
    <rPh sb="5" eb="7">
      <t>ウリアゲ</t>
    </rPh>
    <rPh sb="8" eb="10">
      <t>ゲンカ</t>
    </rPh>
    <rPh sb="10" eb="12">
      <t>ゴウケイ</t>
    </rPh>
    <phoneticPr fontId="2"/>
  </si>
  <si>
    <t>人件費</t>
    <rPh sb="0" eb="3">
      <t>ジンケンヒ</t>
    </rPh>
    <phoneticPr fontId="2"/>
  </si>
  <si>
    <t>給与手当</t>
    <phoneticPr fontId="2"/>
  </si>
  <si>
    <t>アルバイト給与</t>
    <phoneticPr fontId="2"/>
  </si>
  <si>
    <r>
      <t xml:space="preserve">[販管費①] 人件費合計 </t>
    </r>
    <r>
      <rPr>
        <b/>
        <sz val="18"/>
        <color theme="1"/>
        <rFont val="HG丸ｺﾞｼｯｸM-PRO"/>
        <family val="3"/>
        <charset val="128"/>
      </rPr>
      <t>【L】</t>
    </r>
    <rPh sb="1" eb="4">
      <t>ハンカンヒ</t>
    </rPh>
    <phoneticPr fontId="2"/>
  </si>
  <si>
    <t>地代家賃（家賃＋共益費）</t>
    <rPh sb="5" eb="7">
      <t>ヤチン</t>
    </rPh>
    <rPh sb="8" eb="11">
      <t>キョウエキヒ</t>
    </rPh>
    <phoneticPr fontId="2"/>
  </si>
  <si>
    <r>
      <t>[販管費②] 家賃計</t>
    </r>
    <r>
      <rPr>
        <b/>
        <sz val="18"/>
        <color theme="1"/>
        <rFont val="HG丸ｺﾞｼｯｸM-PRO"/>
        <family val="3"/>
        <charset val="128"/>
      </rPr>
      <t xml:space="preserve"> 【R】</t>
    </r>
    <rPh sb="1" eb="4">
      <t>ハンカンヒ</t>
    </rPh>
    <rPh sb="9" eb="10">
      <t>ケイ</t>
    </rPh>
    <phoneticPr fontId="2"/>
  </si>
  <si>
    <t>原則は 売上の10～15％程度</t>
    <rPh sb="0" eb="2">
      <t>ゲンソク</t>
    </rPh>
    <rPh sb="4" eb="6">
      <t>ウリアゲ</t>
    </rPh>
    <rPh sb="13" eb="15">
      <t>テイド</t>
    </rPh>
    <phoneticPr fontId="2"/>
  </si>
  <si>
    <r>
      <t>[販管費③]その他</t>
    </r>
    <r>
      <rPr>
        <b/>
        <sz val="18"/>
        <color theme="1"/>
        <rFont val="HG丸ｺﾞｼｯｸM-PRO"/>
        <family val="3"/>
        <charset val="128"/>
      </rPr>
      <t>【諸経費合計】</t>
    </r>
    <rPh sb="8" eb="9">
      <t>タ</t>
    </rPh>
    <rPh sb="10" eb="13">
      <t>ショケイヒ</t>
    </rPh>
    <rPh sb="13" eb="15">
      <t>ゴウケイ</t>
    </rPh>
    <phoneticPr fontId="2"/>
  </si>
  <si>
    <t>変動費計</t>
    <rPh sb="0" eb="3">
      <t>ヘンドウヒ</t>
    </rPh>
    <phoneticPr fontId="2"/>
  </si>
  <si>
    <t>固定費計</t>
    <rPh sb="0" eb="3">
      <t>コテイヒ</t>
    </rPh>
    <rPh sb="3" eb="4">
      <t>ケイ</t>
    </rPh>
    <phoneticPr fontId="2"/>
  </si>
  <si>
    <t>販売費合計</t>
    <rPh sb="0" eb="3">
      <t>ハンバイヒ</t>
    </rPh>
    <phoneticPr fontId="2"/>
  </si>
  <si>
    <t>営業利益</t>
    <phoneticPr fontId="2"/>
  </si>
  <si>
    <t>損益分岐点客数</t>
    <rPh sb="0" eb="2">
      <t>ソンエキ</t>
    </rPh>
    <rPh sb="2" eb="5">
      <t>ブンキテン</t>
    </rPh>
    <rPh sb="5" eb="7">
      <t>キャクスウ</t>
    </rPh>
    <phoneticPr fontId="2"/>
  </si>
  <si>
    <t>人</t>
    <rPh sb="0" eb="1">
      <t>ニン</t>
    </rPh>
    <phoneticPr fontId="2"/>
  </si>
  <si>
    <t>日割り損益分岐点客数</t>
    <rPh sb="0" eb="2">
      <t>ヒワ</t>
    </rPh>
    <rPh sb="3" eb="5">
      <t>ソンエキ</t>
    </rPh>
    <rPh sb="5" eb="8">
      <t>ブンキテン</t>
    </rPh>
    <rPh sb="8" eb="10">
      <t>キャクスウ</t>
    </rPh>
    <phoneticPr fontId="2"/>
  </si>
  <si>
    <t>一人当たりの利益単価</t>
    <rPh sb="0" eb="2">
      <t>ヒトリ</t>
    </rPh>
    <rPh sb="2" eb="3">
      <t>ア</t>
    </rPh>
    <rPh sb="6" eb="8">
      <t>リエキ</t>
    </rPh>
    <rPh sb="8" eb="10">
      <t>タンカ</t>
    </rPh>
    <phoneticPr fontId="2"/>
  </si>
  <si>
    <t>損益分岐点売上</t>
    <rPh sb="0" eb="2">
      <t>ソンエキ</t>
    </rPh>
    <rPh sb="2" eb="5">
      <t>ブンキテン</t>
    </rPh>
    <rPh sb="5" eb="7">
      <t>ウリアゲ</t>
    </rPh>
    <phoneticPr fontId="2"/>
  </si>
  <si>
    <t>借入可能額</t>
    <rPh sb="0" eb="2">
      <t>カリイレ</t>
    </rPh>
    <rPh sb="2" eb="5">
      <t>カノウガク</t>
    </rPh>
    <phoneticPr fontId="2"/>
  </si>
  <si>
    <r>
      <t xml:space="preserve">自己資金
</t>
    </r>
    <r>
      <rPr>
        <b/>
        <sz val="10"/>
        <color theme="1"/>
        <rFont val="HG丸ｺﾞｼｯｸM-PRO"/>
        <family val="3"/>
        <charset val="128"/>
      </rPr>
      <t>※借入上限枠に対する準備金</t>
    </r>
    <rPh sb="0" eb="2">
      <t>ジコ</t>
    </rPh>
    <rPh sb="2" eb="4">
      <t>シキン</t>
    </rPh>
    <rPh sb="6" eb="8">
      <t>カリイレ</t>
    </rPh>
    <rPh sb="8" eb="10">
      <t>ジョウゲン</t>
    </rPh>
    <rPh sb="10" eb="11">
      <t>ワク</t>
    </rPh>
    <rPh sb="12" eb="13">
      <t>タイ</t>
    </rPh>
    <rPh sb="15" eb="18">
      <t>ジュンビキン</t>
    </rPh>
    <phoneticPr fontId="2"/>
  </si>
  <si>
    <t>自己資金の4割が借入可能枠として計算しているため、自己資金が少なるなりと借入資金枠も少なくなります。計算式：自己資金÷０．４ー自己資金＝借入可能額</t>
    <rPh sb="25" eb="29">
      <t>ジコシキン</t>
    </rPh>
    <rPh sb="30" eb="31">
      <t>スク</t>
    </rPh>
    <rPh sb="36" eb="38">
      <t>カリイレ</t>
    </rPh>
    <rPh sb="38" eb="40">
      <t>シキン</t>
    </rPh>
    <rPh sb="40" eb="41">
      <t>ワク</t>
    </rPh>
    <rPh sb="42" eb="43">
      <t>スク</t>
    </rPh>
    <rPh sb="50" eb="53">
      <t>ケイサンシキ</t>
    </rPh>
    <rPh sb="54" eb="58">
      <t>ジコシキン</t>
    </rPh>
    <rPh sb="63" eb="67">
      <t>ジコシキン</t>
    </rPh>
    <rPh sb="68" eb="70">
      <t>カリイレ</t>
    </rPh>
    <rPh sb="70" eb="73">
      <t>カノウガク</t>
    </rPh>
    <phoneticPr fontId="2"/>
  </si>
  <si>
    <t>投資可能上限枠</t>
    <rPh sb="0" eb="2">
      <t>トウシ</t>
    </rPh>
    <rPh sb="2" eb="4">
      <t>カノウ</t>
    </rPh>
    <rPh sb="4" eb="6">
      <t>ジョウゲン</t>
    </rPh>
    <rPh sb="6" eb="7">
      <t>ワク</t>
    </rPh>
    <phoneticPr fontId="2"/>
  </si>
  <si>
    <t>※売上が4,500,000円を超えれば、スケルトンであっても15%比率の支払い可能</t>
    <rPh sb="1" eb="3">
      <t>ウリアゲ</t>
    </rPh>
    <rPh sb="13" eb="14">
      <t>エン</t>
    </rPh>
    <rPh sb="15" eb="16">
      <t>コ</t>
    </rPh>
    <rPh sb="33" eb="35">
      <t>ヒリツ</t>
    </rPh>
    <rPh sb="36" eb="38">
      <t>シハラ</t>
    </rPh>
    <rPh sb="39" eb="41">
      <t>カノウ</t>
    </rPh>
    <phoneticPr fontId="2"/>
  </si>
  <si>
    <t>売上が300万円を超えると10％で安定
売上が300万円以下15%
売上が150万円以下20%</t>
    <rPh sb="0" eb="2">
      <t>ウリアゲ</t>
    </rPh>
    <rPh sb="6" eb="7">
      <t>マン</t>
    </rPh>
    <rPh sb="7" eb="8">
      <t>エン</t>
    </rPh>
    <rPh sb="9" eb="10">
      <t>コ</t>
    </rPh>
    <rPh sb="17" eb="19">
      <t>アンテイ</t>
    </rPh>
    <rPh sb="20" eb="22">
      <t>ウリアゲ</t>
    </rPh>
    <rPh sb="26" eb="28">
      <t>マンエン</t>
    </rPh>
    <rPh sb="28" eb="30">
      <t>イカ</t>
    </rPh>
    <rPh sb="34" eb="36">
      <t>ウリアゲ</t>
    </rPh>
    <rPh sb="40" eb="42">
      <t>マンエン</t>
    </rPh>
    <rPh sb="42" eb="44">
      <t>イカ</t>
    </rPh>
    <phoneticPr fontId="2"/>
  </si>
  <si>
    <t>目標売上</t>
    <rPh sb="0" eb="2">
      <t>モクヒョウ</t>
    </rPh>
    <rPh sb="2" eb="4">
      <t>ウリアゲ</t>
    </rPh>
    <phoneticPr fontId="2"/>
  </si>
  <si>
    <t>税金を差し引いた銀行返済枠を60～80％計算</t>
    <rPh sb="0" eb="2">
      <t>ゼイキン</t>
    </rPh>
    <rPh sb="3" eb="4">
      <t>サ</t>
    </rPh>
    <rPh sb="5" eb="6">
      <t>ヒ</t>
    </rPh>
    <rPh sb="8" eb="10">
      <t>ギンコウ</t>
    </rPh>
    <rPh sb="10" eb="13">
      <t>ヘンサイワク</t>
    </rPh>
    <rPh sb="20" eb="22">
      <t>ケイサン</t>
    </rPh>
    <phoneticPr fontId="2"/>
  </si>
  <si>
    <t>月額返済元金</t>
    <rPh sb="0" eb="2">
      <t>ゲツガク</t>
    </rPh>
    <rPh sb="2" eb="4">
      <t>ヘンサイ</t>
    </rPh>
    <rPh sb="4" eb="6">
      <t>ガンキン</t>
    </rPh>
    <phoneticPr fontId="2"/>
  </si>
  <si>
    <t>※目標売上を上げて、しっかり給与を取れる計画が大事</t>
    <rPh sb="1" eb="3">
      <t>モクヒョウ</t>
    </rPh>
    <rPh sb="3" eb="5">
      <t>ウリアゲ</t>
    </rPh>
    <rPh sb="6" eb="7">
      <t>ア</t>
    </rPh>
    <rPh sb="14" eb="16">
      <t>キュウヨ</t>
    </rPh>
    <rPh sb="17" eb="18">
      <t>ト</t>
    </rPh>
    <rPh sb="20" eb="22">
      <t>ケイカク</t>
    </rPh>
    <rPh sb="23" eb="25">
      <t>ダイジ</t>
    </rPh>
    <phoneticPr fontId="2"/>
  </si>
  <si>
    <t>営業日数</t>
    <rPh sb="0" eb="4">
      <t>エイギョウニッスウ</t>
    </rPh>
    <phoneticPr fontId="23"/>
  </si>
  <si>
    <t>ランチ売上</t>
    <rPh sb="3" eb="5">
      <t>ウリアゲ</t>
    </rPh>
    <phoneticPr fontId="23"/>
  </si>
  <si>
    <t>席回転</t>
    <rPh sb="0" eb="1">
      <t>セキ</t>
    </rPh>
    <rPh sb="1" eb="3">
      <t>カイテン</t>
    </rPh>
    <phoneticPr fontId="23"/>
  </si>
  <si>
    <t>客単価</t>
    <rPh sb="0" eb="3">
      <t>キャクタンカ</t>
    </rPh>
    <phoneticPr fontId="23"/>
  </si>
  <si>
    <t>満席率</t>
    <rPh sb="0" eb="3">
      <t>マンセキリツ</t>
    </rPh>
    <phoneticPr fontId="23"/>
  </si>
  <si>
    <t>ディナー売上</t>
    <rPh sb="4" eb="6">
      <t>ウリアゲ</t>
    </rPh>
    <phoneticPr fontId="23"/>
  </si>
  <si>
    <t>席数</t>
    <rPh sb="0" eb="2">
      <t>セキスウ</t>
    </rPh>
    <phoneticPr fontId="23"/>
  </si>
  <si>
    <t>坪数</t>
    <rPh sb="0" eb="2">
      <t>ツボスウ</t>
    </rPh>
    <phoneticPr fontId="23"/>
  </si>
  <si>
    <t>坪単価</t>
    <rPh sb="0" eb="3">
      <t>ツボタンカ</t>
    </rPh>
    <phoneticPr fontId="23"/>
  </si>
  <si>
    <t>共益費</t>
    <rPh sb="0" eb="3">
      <t>キョウエキヒ</t>
    </rPh>
    <phoneticPr fontId="23"/>
  </si>
  <si>
    <t>時間</t>
    <rPh sb="0" eb="2">
      <t>ジカン</t>
    </rPh>
    <phoneticPr fontId="23"/>
  </si>
  <si>
    <t>日数</t>
    <rPh sb="0" eb="2">
      <t>ニッスウ</t>
    </rPh>
    <phoneticPr fontId="23"/>
  </si>
  <si>
    <t>利益単価</t>
    <rPh sb="0" eb="4">
      <t>リエキタンカ</t>
    </rPh>
    <phoneticPr fontId="23"/>
  </si>
  <si>
    <t>変動費単価</t>
    <rPh sb="0" eb="5">
      <t>ヘンドウヒタンカ</t>
    </rPh>
    <phoneticPr fontId="23"/>
  </si>
  <si>
    <t>客数</t>
    <rPh sb="0" eb="2">
      <t>キャクスウ</t>
    </rPh>
    <phoneticPr fontId="23"/>
  </si>
  <si>
    <t>変動費率</t>
    <rPh sb="0" eb="2">
      <t>ヘンドウ</t>
    </rPh>
    <rPh sb="2" eb="3">
      <t>ヒ</t>
    </rPh>
    <rPh sb="3" eb="4">
      <t>リツ</t>
    </rPh>
    <phoneticPr fontId="23"/>
  </si>
  <si>
    <t>固定費</t>
    <rPh sb="0" eb="3">
      <t>コテイヒ</t>
    </rPh>
    <phoneticPr fontId="23"/>
  </si>
  <si>
    <t>①</t>
    <phoneticPr fontId="23"/>
  </si>
  <si>
    <t>②</t>
    <phoneticPr fontId="23"/>
  </si>
  <si>
    <t>■原価率シミュレーション　②</t>
    <rPh sb="1" eb="4">
      <t>ゲンカリツ</t>
    </rPh>
    <phoneticPr fontId="23"/>
  </si>
  <si>
    <t>③</t>
    <phoneticPr fontId="23"/>
  </si>
  <si>
    <t>④</t>
    <phoneticPr fontId="23"/>
  </si>
  <si>
    <t>社員給与　③</t>
    <rPh sb="0" eb="2">
      <t>シャイン</t>
    </rPh>
    <rPh sb="2" eb="4">
      <t>キュウヨ</t>
    </rPh>
    <phoneticPr fontId="23"/>
  </si>
  <si>
    <t xml:space="preserve">給与手当  </t>
    <phoneticPr fontId="2"/>
  </si>
  <si>
    <t xml:space="preserve">アルバイト給与  </t>
    <phoneticPr fontId="2"/>
  </si>
  <si>
    <t>原価合計 【F】</t>
    <phoneticPr fontId="2"/>
  </si>
  <si>
    <t>⑤</t>
    <phoneticPr fontId="23"/>
  </si>
  <si>
    <t xml:space="preserve"> 人件費合計 【L】　③＋④</t>
    <phoneticPr fontId="2"/>
  </si>
  <si>
    <t>⑥</t>
    <phoneticPr fontId="23"/>
  </si>
  <si>
    <t>その他【諸経費合計】</t>
    <rPh sb="2" eb="3">
      <t>タ</t>
    </rPh>
    <rPh sb="4" eb="7">
      <t>ショケイヒ</t>
    </rPh>
    <rPh sb="7" eb="9">
      <t>ゴウケイ</t>
    </rPh>
    <phoneticPr fontId="2"/>
  </si>
  <si>
    <t>⑦</t>
    <phoneticPr fontId="23"/>
  </si>
  <si>
    <t>⑧</t>
    <phoneticPr fontId="23"/>
  </si>
  <si>
    <t>⑨</t>
    <phoneticPr fontId="23"/>
  </si>
  <si>
    <t>■計数関連</t>
    <rPh sb="1" eb="3">
      <t>ケイスウ</t>
    </rPh>
    <rPh sb="3" eb="5">
      <t>カンレン</t>
    </rPh>
    <phoneticPr fontId="23"/>
  </si>
  <si>
    <t>営業利益　①－（②＋⑤＋⑥）</t>
    <rPh sb="0" eb="4">
      <t>エイギョウリエキ</t>
    </rPh>
    <phoneticPr fontId="2"/>
  </si>
  <si>
    <t>経常利益　⑦ー⑧</t>
    <rPh sb="0" eb="4">
      <t>ケイツネリエキ</t>
    </rPh>
    <phoneticPr fontId="23"/>
  </si>
  <si>
    <t>■人件費シミュレーション</t>
    <rPh sb="1" eb="4">
      <t>ジンケンヒ</t>
    </rPh>
    <phoneticPr fontId="23"/>
  </si>
  <si>
    <t>■その他経費</t>
    <rPh sb="3" eb="6">
      <t>タケイヒ</t>
    </rPh>
    <phoneticPr fontId="23"/>
  </si>
  <si>
    <t>その他諸経費</t>
    <rPh sb="2" eb="3">
      <t>タ</t>
    </rPh>
    <rPh sb="3" eb="6">
      <t>ショケイヒ</t>
    </rPh>
    <phoneticPr fontId="23"/>
  </si>
  <si>
    <t>その他固定費</t>
    <rPh sb="2" eb="6">
      <t>タコテイヒ</t>
    </rPh>
    <phoneticPr fontId="23"/>
  </si>
  <si>
    <t>固定費</t>
    <rPh sb="0" eb="3">
      <t>コテイヒ</t>
    </rPh>
    <phoneticPr fontId="2"/>
  </si>
  <si>
    <t>損益分岐点客数</t>
    <rPh sb="0" eb="5">
      <t>ソンエキブンキテン</t>
    </rPh>
    <rPh sb="5" eb="7">
      <t>キャクスウ</t>
    </rPh>
    <phoneticPr fontId="23"/>
  </si>
  <si>
    <t>損益分岐点売上</t>
    <rPh sb="0" eb="7">
      <t>ソンエキブンキテンウリアゲ</t>
    </rPh>
    <phoneticPr fontId="23"/>
  </si>
  <si>
    <t>自己資金※借入上限枠に対する準備金</t>
    <rPh sb="0" eb="2">
      <t>ジコ</t>
    </rPh>
    <rPh sb="2" eb="4">
      <t>シキン</t>
    </rPh>
    <rPh sb="5" eb="7">
      <t>カリイレ</t>
    </rPh>
    <rPh sb="7" eb="9">
      <t>ジョウゲン</t>
    </rPh>
    <rPh sb="9" eb="10">
      <t>ワク</t>
    </rPh>
    <rPh sb="11" eb="12">
      <t>タイ</t>
    </rPh>
    <rPh sb="14" eb="17">
      <t>ジュンビキン</t>
    </rPh>
    <phoneticPr fontId="2"/>
  </si>
  <si>
    <t>■基本情報　＜家賃＞</t>
    <rPh sb="1" eb="3">
      <t>キホン</t>
    </rPh>
    <rPh sb="3" eb="5">
      <t>ジョウホウ</t>
    </rPh>
    <rPh sb="7" eb="9">
      <t>ヤチン</t>
    </rPh>
    <phoneticPr fontId="23"/>
  </si>
  <si>
    <t xml:space="preserve">家賃 </t>
    <rPh sb="0" eb="2">
      <t>ヤチン</t>
    </rPh>
    <phoneticPr fontId="23"/>
  </si>
  <si>
    <t>■売上シミュレーション ①</t>
    <rPh sb="1" eb="3">
      <t>ウリアゲ</t>
    </rPh>
    <phoneticPr fontId="23"/>
  </si>
  <si>
    <t>P/A人件費　④</t>
    <rPh sb="3" eb="6">
      <t>ジンケンヒ</t>
    </rPh>
    <phoneticPr fontId="23"/>
  </si>
  <si>
    <t>P/A時給　</t>
    <rPh sb="3" eb="5">
      <t>ジキュウ</t>
    </rPh>
    <phoneticPr fontId="23"/>
  </si>
  <si>
    <t>比率</t>
    <rPh sb="0" eb="2">
      <t>ヒリツ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</si>
</sst>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%"/>
    <numFmt numFmtId="177" formatCode="#,##0&quot;円&quot;"/>
    <numFmt numFmtId="178" formatCode="###&quot;席&quot;"/>
    <numFmt numFmtId="179" formatCode="###&quot;坪&quot;"/>
    <numFmt numFmtId="180" formatCode="###&quot;人&quot;"/>
    <numFmt numFmtId="181" formatCode="###&quot;ｈ&quot;"/>
    <numFmt numFmtId="182" formatCode="###&quot;日&quot;"/>
    <numFmt numFmtId="183" formatCode="###,###&quot;円&quot;"/>
    <numFmt numFmtId="184" formatCode="###&quot;年&quot;"/>
    <numFmt numFmtId="185" formatCode="###,###,###&quot;円&quot;"/>
    <numFmt numFmtId="186" formatCode="###.00&quot;回転&quot;"/>
  </numFmts>
  <fonts count="32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rgb="FFFF000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sz val="16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6"/>
      <color theme="1"/>
      <name val="HG丸ｺﾞｼｯｸM-PRO"/>
      <family val="3"/>
      <charset val="128"/>
    </font>
    <font>
      <sz val="16"/>
      <name val="HGPｺﾞｼｯｸE"/>
      <family val="3"/>
      <charset val="128"/>
    </font>
    <font>
      <sz val="16"/>
      <name val="HGPｺﾞｼｯｸM"/>
      <family val="3"/>
      <charset val="128"/>
    </font>
    <font>
      <b/>
      <sz val="16"/>
      <name val="HGPｺﾞｼｯｸM"/>
      <family val="3"/>
      <charset val="128"/>
    </font>
    <font>
      <sz val="16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rgb="FFFF0000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28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7" fillId="0" borderId="0" xfId="1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13" fillId="0" borderId="25" xfId="3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7" fillId="2" borderId="0" xfId="0" applyFont="1" applyFill="1" applyAlignment="1">
      <alignment vertical="center"/>
    </xf>
    <xf numFmtId="38" fontId="11" fillId="0" borderId="8" xfId="3" applyFont="1" applyFill="1" applyBorder="1" applyAlignment="1">
      <alignment horizontal="right" vertical="center" shrinkToFit="1"/>
    </xf>
    <xf numFmtId="38" fontId="11" fillId="0" borderId="14" xfId="3" applyFont="1" applyFill="1" applyBorder="1" applyAlignment="1">
      <alignment horizontal="right" vertical="center" shrinkToFit="1"/>
    </xf>
    <xf numFmtId="38" fontId="13" fillId="0" borderId="21" xfId="3" applyFont="1" applyFill="1" applyBorder="1" applyAlignment="1">
      <alignment vertical="center"/>
    </xf>
    <xf numFmtId="176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 shrinkToFit="1"/>
    </xf>
    <xf numFmtId="177" fontId="11" fillId="0" borderId="9" xfId="0" applyNumberFormat="1" applyFont="1" applyBorder="1" applyAlignment="1">
      <alignment horizontal="center" vertical="center" shrinkToFit="1"/>
    </xf>
    <xf numFmtId="176" fontId="11" fillId="0" borderId="10" xfId="0" applyNumberFormat="1" applyFont="1" applyBorder="1" applyAlignment="1">
      <alignment horizontal="right" vertical="center" shrinkToFit="1"/>
    </xf>
    <xf numFmtId="176" fontId="12" fillId="0" borderId="3" xfId="0" applyNumberFormat="1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177" fontId="11" fillId="0" borderId="15" xfId="0" applyNumberFormat="1" applyFont="1" applyBorder="1" applyAlignment="1">
      <alignment horizontal="center" vertical="center" shrinkToFit="1"/>
    </xf>
    <xf numFmtId="176" fontId="11" fillId="0" borderId="2" xfId="0" applyNumberFormat="1" applyFont="1" applyBorder="1" applyAlignment="1">
      <alignment horizontal="right" vertical="center" shrinkToFit="1"/>
    </xf>
    <xf numFmtId="0" fontId="14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38" fontId="6" fillId="0" borderId="0" xfId="3" applyFont="1" applyFill="1" applyBorder="1" applyAlignment="1">
      <alignment vertical="center" shrinkToFit="1"/>
    </xf>
    <xf numFmtId="38" fontId="6" fillId="0" borderId="0" xfId="0" applyNumberFormat="1" applyFont="1" applyAlignment="1">
      <alignment horizontal="center" vertical="center" shrinkToFit="1"/>
    </xf>
    <xf numFmtId="176" fontId="6" fillId="0" borderId="0" xfId="0" applyNumberFormat="1" applyFont="1" applyAlignment="1">
      <alignment horizontal="right" vertical="center" shrinkToFit="1"/>
    </xf>
    <xf numFmtId="176" fontId="6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shrinkToFit="1"/>
    </xf>
    <xf numFmtId="38" fontId="6" fillId="0" borderId="8" xfId="3" applyFont="1" applyFill="1" applyBorder="1" applyAlignment="1">
      <alignment vertical="center" shrinkToFit="1"/>
    </xf>
    <xf numFmtId="177" fontId="6" fillId="0" borderId="9" xfId="0" applyNumberFormat="1" applyFont="1" applyBorder="1" applyAlignment="1">
      <alignment horizontal="center" vertical="center" shrinkToFit="1"/>
    </xf>
    <xf numFmtId="9" fontId="6" fillId="0" borderId="10" xfId="2" applyFont="1" applyFill="1" applyBorder="1" applyAlignment="1">
      <alignment horizontal="right" vertical="center" shrinkToFit="1"/>
    </xf>
    <xf numFmtId="38" fontId="13" fillId="0" borderId="16" xfId="3" applyFont="1" applyFill="1" applyBorder="1" applyAlignment="1">
      <alignment vertical="center"/>
    </xf>
    <xf numFmtId="177" fontId="13" fillId="0" borderId="17" xfId="0" applyNumberFormat="1" applyFont="1" applyBorder="1" applyAlignment="1">
      <alignment horizontal="center" vertical="center"/>
    </xf>
    <xf numFmtId="176" fontId="13" fillId="0" borderId="10" xfId="0" applyNumberFormat="1" applyFont="1" applyBorder="1" applyAlignment="1">
      <alignment horizontal="right" vertical="center"/>
    </xf>
    <xf numFmtId="49" fontId="12" fillId="0" borderId="3" xfId="0" applyNumberFormat="1" applyFont="1" applyBorder="1" applyAlignment="1">
      <alignment vertical="center"/>
    </xf>
    <xf numFmtId="177" fontId="6" fillId="0" borderId="19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right" vertical="center" shrinkToFit="1"/>
    </xf>
    <xf numFmtId="176" fontId="6" fillId="0" borderId="3" xfId="0" applyNumberFormat="1" applyFont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176" fontId="6" fillId="0" borderId="2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8" fontId="6" fillId="0" borderId="1" xfId="3" applyFont="1" applyFill="1" applyBorder="1" applyAlignment="1">
      <alignment vertical="center"/>
    </xf>
    <xf numFmtId="38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38" fontId="6" fillId="0" borderId="7" xfId="3" applyFont="1" applyFill="1" applyBorder="1" applyAlignment="1">
      <alignment vertical="center"/>
    </xf>
    <xf numFmtId="177" fontId="6" fillId="0" borderId="10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right" vertical="center"/>
    </xf>
    <xf numFmtId="176" fontId="12" fillId="0" borderId="3" xfId="0" applyNumberFormat="1" applyFont="1" applyBorder="1" applyAlignment="1">
      <alignment vertical="center"/>
    </xf>
    <xf numFmtId="177" fontId="13" fillId="0" borderId="22" xfId="0" applyNumberFormat="1" applyFont="1" applyBorder="1" applyAlignment="1">
      <alignment horizontal="center" vertical="center"/>
    </xf>
    <xf numFmtId="38" fontId="6" fillId="0" borderId="23" xfId="3" applyFont="1" applyFill="1" applyBorder="1" applyAlignment="1">
      <alignment vertical="center"/>
    </xf>
    <xf numFmtId="177" fontId="6" fillId="0" borderId="2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13" fillId="0" borderId="1" xfId="0" applyFont="1" applyBorder="1" applyAlignment="1">
      <alignment horizontal="right" vertical="center"/>
    </xf>
    <xf numFmtId="177" fontId="13" fillId="0" borderId="25" xfId="0" applyNumberFormat="1" applyFont="1" applyBorder="1" applyAlignment="1">
      <alignment horizontal="center" vertical="center"/>
    </xf>
    <xf numFmtId="176" fontId="13" fillId="0" borderId="13" xfId="0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 textRotation="255"/>
    </xf>
    <xf numFmtId="177" fontId="6" fillId="0" borderId="0" xfId="0" applyNumberFormat="1" applyFont="1" applyAlignment="1">
      <alignment horizontal="center" vertical="center"/>
    </xf>
    <xf numFmtId="176" fontId="6" fillId="0" borderId="3" xfId="2" applyNumberFormat="1" applyFont="1" applyFill="1" applyBorder="1" applyAlignment="1">
      <alignment horizontal="right" vertical="center"/>
    </xf>
    <xf numFmtId="38" fontId="13" fillId="0" borderId="7" xfId="3" applyFont="1" applyFill="1" applyBorder="1" applyAlignment="1">
      <alignment vertical="center"/>
    </xf>
    <xf numFmtId="177" fontId="13" fillId="0" borderId="10" xfId="0" applyNumberFormat="1" applyFont="1" applyBorder="1" applyAlignment="1">
      <alignment horizontal="center" vertical="center"/>
    </xf>
    <xf numFmtId="176" fontId="13" fillId="0" borderId="3" xfId="2" applyNumberFormat="1" applyFont="1" applyFill="1" applyBorder="1" applyAlignment="1">
      <alignment horizontal="right" vertical="center"/>
    </xf>
    <xf numFmtId="0" fontId="6" fillId="0" borderId="13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left" vertical="center"/>
    </xf>
    <xf numFmtId="38" fontId="6" fillId="0" borderId="13" xfId="3" applyFont="1" applyFill="1" applyBorder="1" applyAlignment="1">
      <alignment vertical="center"/>
    </xf>
    <xf numFmtId="38" fontId="6" fillId="0" borderId="13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textRotation="255"/>
    </xf>
    <xf numFmtId="0" fontId="11" fillId="0" borderId="10" xfId="0" applyFont="1" applyBorder="1" applyAlignment="1">
      <alignment horizontal="left" vertical="center"/>
    </xf>
    <xf numFmtId="38" fontId="11" fillId="0" borderId="7" xfId="3" applyFont="1" applyFill="1" applyBorder="1" applyAlignment="1">
      <alignment vertical="center"/>
    </xf>
    <xf numFmtId="177" fontId="11" fillId="0" borderId="10" xfId="0" applyNumberFormat="1" applyFont="1" applyBorder="1" applyAlignment="1">
      <alignment horizontal="center" vertical="center"/>
    </xf>
    <xf numFmtId="176" fontId="11" fillId="0" borderId="3" xfId="2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38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1" fillId="0" borderId="26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textRotation="255"/>
    </xf>
    <xf numFmtId="0" fontId="11" fillId="0" borderId="0" xfId="0" applyFont="1" applyAlignment="1">
      <alignment horizontal="left" vertical="center"/>
    </xf>
    <xf numFmtId="38" fontId="11" fillId="0" borderId="0" xfId="3" applyFont="1" applyFill="1" applyBorder="1" applyAlignment="1">
      <alignment vertical="center"/>
    </xf>
    <xf numFmtId="177" fontId="11" fillId="0" borderId="0" xfId="0" applyNumberFormat="1" applyFont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9" fillId="0" borderId="3" xfId="0" applyNumberFormat="1" applyFont="1" applyBorder="1" applyAlignment="1">
      <alignment vertical="center"/>
    </xf>
    <xf numFmtId="176" fontId="9" fillId="0" borderId="3" xfId="0" applyNumberFormat="1" applyFont="1" applyBorder="1" applyAlignment="1">
      <alignment vertical="center" shrinkToFit="1"/>
    </xf>
    <xf numFmtId="38" fontId="6" fillId="0" borderId="13" xfId="1" applyFont="1" applyFill="1" applyBorder="1" applyAlignment="1">
      <alignment horizontal="right" vertical="center"/>
    </xf>
    <xf numFmtId="176" fontId="13" fillId="0" borderId="10" xfId="2" applyNumberFormat="1" applyFont="1" applyFill="1" applyBorder="1" applyAlignment="1">
      <alignment horizontal="right" vertical="center"/>
    </xf>
    <xf numFmtId="176" fontId="11" fillId="0" borderId="10" xfId="2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11" fillId="4" borderId="13" xfId="0" applyFont="1" applyFill="1" applyBorder="1" applyAlignment="1">
      <alignment horizontal="left" vertical="center"/>
    </xf>
    <xf numFmtId="38" fontId="11" fillId="4" borderId="21" xfId="3" applyFont="1" applyFill="1" applyBorder="1" applyAlignment="1">
      <alignment vertical="center"/>
    </xf>
    <xf numFmtId="177" fontId="11" fillId="4" borderId="22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vertical="center"/>
    </xf>
    <xf numFmtId="38" fontId="7" fillId="3" borderId="3" xfId="1" applyFont="1" applyFill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38" fontId="7" fillId="2" borderId="3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0" fontId="7" fillId="0" borderId="3" xfId="0" applyFont="1" applyBorder="1" applyAlignment="1">
      <alignment vertical="center" shrinkToFit="1"/>
    </xf>
    <xf numFmtId="0" fontId="18" fillId="0" borderId="3" xfId="0" applyFont="1" applyBorder="1" applyAlignment="1">
      <alignment vertical="center" wrapText="1" shrinkToFit="1"/>
    </xf>
    <xf numFmtId="9" fontId="7" fillId="2" borderId="3" xfId="2" applyFont="1" applyFill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17" fillId="0" borderId="3" xfId="0" applyFont="1" applyBorder="1" applyAlignment="1">
      <alignment vertical="center" wrapText="1" shrinkToFit="1"/>
    </xf>
    <xf numFmtId="0" fontId="18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textRotation="255"/>
    </xf>
    <xf numFmtId="0" fontId="7" fillId="0" borderId="10" xfId="0" applyFont="1" applyBorder="1" applyAlignment="1">
      <alignment vertical="center"/>
    </xf>
    <xf numFmtId="0" fontId="17" fillId="0" borderId="10" xfId="0" applyFont="1" applyBorder="1" applyAlignment="1">
      <alignment vertical="center" wrapText="1" shrinkToFit="1"/>
    </xf>
    <xf numFmtId="0" fontId="7" fillId="0" borderId="6" xfId="0" applyFont="1" applyBorder="1" applyAlignment="1">
      <alignment vertical="center"/>
    </xf>
    <xf numFmtId="38" fontId="7" fillId="2" borderId="6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27" xfId="0" applyFont="1" applyFill="1" applyBorder="1" applyAlignment="1">
      <alignment vertical="center"/>
    </xf>
    <xf numFmtId="0" fontId="7" fillId="0" borderId="28" xfId="0" applyFont="1" applyBorder="1" applyAlignment="1">
      <alignment vertical="center"/>
    </xf>
    <xf numFmtId="38" fontId="7" fillId="2" borderId="29" xfId="1" applyFont="1" applyFill="1" applyBorder="1" applyAlignment="1">
      <alignment vertical="center"/>
    </xf>
    <xf numFmtId="0" fontId="7" fillId="0" borderId="30" xfId="0" applyFont="1" applyBorder="1" applyAlignment="1">
      <alignment vertical="center"/>
    </xf>
    <xf numFmtId="40" fontId="7" fillId="0" borderId="29" xfId="1" applyNumberFormat="1" applyFont="1" applyFill="1" applyBorder="1" applyAlignment="1">
      <alignment vertical="center"/>
    </xf>
    <xf numFmtId="0" fontId="15" fillId="3" borderId="0" xfId="0" applyFont="1" applyFill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76" fontId="20" fillId="0" borderId="3" xfId="0" applyNumberFormat="1" applyFont="1" applyBorder="1" applyAlignment="1">
      <alignment vertical="center" wrapText="1"/>
    </xf>
    <xf numFmtId="0" fontId="21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176" fontId="22" fillId="0" borderId="3" xfId="0" applyNumberFormat="1" applyFont="1" applyBorder="1" applyAlignment="1">
      <alignment vertical="center"/>
    </xf>
    <xf numFmtId="38" fontId="25" fillId="0" borderId="44" xfId="3" applyFont="1" applyFill="1" applyBorder="1" applyAlignment="1">
      <alignment horizontal="right" vertical="center" shrinkToFit="1"/>
    </xf>
    <xf numFmtId="38" fontId="24" fillId="0" borderId="27" xfId="3" applyFont="1" applyFill="1" applyBorder="1" applyAlignment="1">
      <alignment vertical="center"/>
    </xf>
    <xf numFmtId="176" fontId="24" fillId="0" borderId="38" xfId="0" applyNumberFormat="1" applyFont="1" applyBorder="1" applyAlignment="1">
      <alignment horizontal="right" vertical="center"/>
    </xf>
    <xf numFmtId="38" fontId="24" fillId="0" borderId="3" xfId="3" applyFont="1" applyFill="1" applyBorder="1" applyAlignment="1">
      <alignment vertical="center"/>
    </xf>
    <xf numFmtId="176" fontId="24" fillId="0" borderId="35" xfId="0" applyNumberFormat="1" applyFont="1" applyBorder="1" applyAlignment="1">
      <alignment horizontal="right" vertical="center"/>
    </xf>
    <xf numFmtId="38" fontId="24" fillId="0" borderId="48" xfId="3" applyFont="1" applyFill="1" applyBorder="1" applyAlignment="1">
      <alignment vertical="center"/>
    </xf>
    <xf numFmtId="176" fontId="25" fillId="0" borderId="43" xfId="2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6" borderId="70" xfId="0" applyFont="1" applyFill="1" applyBorder="1" applyAlignment="1">
      <alignment horizontal="center" vertical="center"/>
    </xf>
    <xf numFmtId="0" fontId="27" fillId="5" borderId="71" xfId="0" applyFont="1" applyFill="1" applyBorder="1" applyAlignment="1">
      <alignment horizontal="center" vertical="center"/>
    </xf>
    <xf numFmtId="38" fontId="24" fillId="0" borderId="76" xfId="3" applyFont="1" applyFill="1" applyBorder="1" applyAlignment="1">
      <alignment vertical="center"/>
    </xf>
    <xf numFmtId="176" fontId="24" fillId="0" borderId="77" xfId="0" applyNumberFormat="1" applyFont="1" applyBorder="1" applyAlignment="1">
      <alignment horizontal="right" vertical="center"/>
    </xf>
    <xf numFmtId="0" fontId="27" fillId="7" borderId="73" xfId="0" applyFont="1" applyFill="1" applyBorder="1" applyAlignment="1">
      <alignment horizontal="center" vertical="center"/>
    </xf>
    <xf numFmtId="0" fontId="27" fillId="7" borderId="69" xfId="0" applyFont="1" applyFill="1" applyBorder="1" applyAlignment="1">
      <alignment horizontal="center" vertical="center"/>
    </xf>
    <xf numFmtId="0" fontId="27" fillId="7" borderId="64" xfId="0" applyFont="1" applyFill="1" applyBorder="1" applyAlignment="1">
      <alignment horizontal="center" vertical="center"/>
    </xf>
    <xf numFmtId="0" fontId="27" fillId="6" borderId="69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38" fontId="24" fillId="0" borderId="0" xfId="3" applyFont="1" applyFill="1" applyBorder="1" applyAlignment="1">
      <alignment vertical="center"/>
    </xf>
    <xf numFmtId="176" fontId="24" fillId="0" borderId="0" xfId="2" applyNumberFormat="1" applyFont="1" applyFill="1" applyBorder="1" applyAlignment="1">
      <alignment horizontal="right" vertical="center"/>
    </xf>
    <xf numFmtId="176" fontId="25" fillId="0" borderId="0" xfId="2" applyNumberFormat="1" applyFont="1" applyFill="1" applyBorder="1" applyAlignment="1">
      <alignment horizontal="right" vertical="center"/>
    </xf>
    <xf numFmtId="0" fontId="27" fillId="6" borderId="59" xfId="0" applyFont="1" applyFill="1" applyBorder="1" applyAlignment="1">
      <alignment horizontal="center" vertical="center"/>
    </xf>
    <xf numFmtId="38" fontId="25" fillId="0" borderId="42" xfId="3" applyFont="1" applyFill="1" applyBorder="1" applyAlignment="1">
      <alignment vertical="center"/>
    </xf>
    <xf numFmtId="0" fontId="27" fillId="9" borderId="69" xfId="0" applyFont="1" applyFill="1" applyBorder="1" applyAlignment="1">
      <alignment horizontal="center" vertical="center"/>
    </xf>
    <xf numFmtId="38" fontId="25" fillId="0" borderId="27" xfId="3" applyFont="1" applyFill="1" applyBorder="1" applyAlignment="1">
      <alignment vertical="center"/>
    </xf>
    <xf numFmtId="176" fontId="25" fillId="0" borderId="38" xfId="0" applyNumberFormat="1" applyFont="1" applyBorder="1" applyAlignment="1">
      <alignment horizontal="right" vertical="center"/>
    </xf>
    <xf numFmtId="0" fontId="27" fillId="8" borderId="71" xfId="0" applyFont="1" applyFill="1" applyBorder="1" applyAlignment="1">
      <alignment horizontal="center" vertical="center"/>
    </xf>
    <xf numFmtId="38" fontId="24" fillId="0" borderId="46" xfId="3" applyFont="1" applyFill="1" applyBorder="1" applyAlignment="1">
      <alignment vertical="center"/>
    </xf>
    <xf numFmtId="176" fontId="24" fillId="0" borderId="47" xfId="0" applyNumberFormat="1" applyFont="1" applyBorder="1" applyAlignment="1">
      <alignment horizontal="right" vertical="center"/>
    </xf>
    <xf numFmtId="176" fontId="24" fillId="0" borderId="49" xfId="0" applyNumberFormat="1" applyFont="1" applyBorder="1" applyAlignment="1">
      <alignment horizontal="right" vertical="center"/>
    </xf>
    <xf numFmtId="176" fontId="24" fillId="0" borderId="47" xfId="2" applyNumberFormat="1" applyFont="1" applyFill="1" applyBorder="1" applyAlignment="1">
      <alignment horizontal="right" vertical="center"/>
    </xf>
    <xf numFmtId="38" fontId="25" fillId="6" borderId="35" xfId="3" applyFont="1" applyFill="1" applyBorder="1" applyAlignment="1">
      <alignment vertical="center"/>
    </xf>
    <xf numFmtId="38" fontId="25" fillId="6" borderId="43" xfId="3" applyFont="1" applyFill="1" applyBorder="1" applyAlignment="1">
      <alignment vertical="center"/>
    </xf>
    <xf numFmtId="176" fontId="9" fillId="0" borderId="6" xfId="0" applyNumberFormat="1" applyFont="1" applyBorder="1" applyAlignment="1">
      <alignment horizontal="left" vertical="center" wrapText="1"/>
    </xf>
    <xf numFmtId="176" fontId="9" fillId="0" borderId="27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1" fillId="0" borderId="12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right" vertical="center"/>
    </xf>
    <xf numFmtId="0" fontId="13" fillId="0" borderId="31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3" fillId="0" borderId="7" xfId="0" applyFont="1" applyBorder="1" applyAlignment="1">
      <alignment horizontal="right" vertical="center"/>
    </xf>
    <xf numFmtId="0" fontId="13" fillId="0" borderId="17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right" vertical="center" wrapText="1"/>
    </xf>
    <xf numFmtId="0" fontId="13" fillId="0" borderId="17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4" fillId="7" borderId="40" xfId="0" applyFont="1" applyFill="1" applyBorder="1" applyAlignment="1">
      <alignment horizontal="right" vertical="center"/>
    </xf>
    <xf numFmtId="0" fontId="24" fillId="7" borderId="72" xfId="0" applyFont="1" applyFill="1" applyBorder="1" applyAlignment="1">
      <alignment horizontal="right" vertical="center"/>
    </xf>
    <xf numFmtId="0" fontId="24" fillId="9" borderId="7" xfId="0" applyFont="1" applyFill="1" applyBorder="1" applyAlignment="1">
      <alignment horizontal="center" vertical="center"/>
    </xf>
    <xf numFmtId="0" fontId="24" fillId="9" borderId="10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0" fontId="24" fillId="6" borderId="34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4" fillId="6" borderId="34" xfId="0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24" fillId="6" borderId="51" xfId="0" applyFont="1" applyFill="1" applyBorder="1" applyAlignment="1">
      <alignment horizontal="center" vertical="center"/>
    </xf>
    <xf numFmtId="0" fontId="24" fillId="6" borderId="81" xfId="0" applyFont="1" applyFill="1" applyBorder="1" applyAlignment="1">
      <alignment horizontal="center" vertical="center"/>
    </xf>
    <xf numFmtId="0" fontId="24" fillId="6" borderId="82" xfId="0" applyFont="1" applyFill="1" applyBorder="1" applyAlignment="1">
      <alignment horizontal="center" vertical="center"/>
    </xf>
    <xf numFmtId="0" fontId="24" fillId="6" borderId="36" xfId="0" applyFont="1" applyFill="1" applyBorder="1" applyAlignment="1">
      <alignment horizontal="center" vertical="center" wrapText="1"/>
    </xf>
    <xf numFmtId="0" fontId="24" fillId="6" borderId="37" xfId="0" applyFont="1" applyFill="1" applyBorder="1" applyAlignment="1">
      <alignment horizontal="center" vertical="center" wrapText="1"/>
    </xf>
    <xf numFmtId="0" fontId="24" fillId="6" borderId="80" xfId="0" applyFont="1" applyFill="1" applyBorder="1" applyAlignment="1">
      <alignment horizontal="center" vertical="center" wrapText="1"/>
    </xf>
    <xf numFmtId="0" fontId="24" fillId="7" borderId="74" xfId="0" applyFont="1" applyFill="1" applyBorder="1" applyAlignment="1">
      <alignment horizontal="center" vertical="center"/>
    </xf>
    <xf numFmtId="0" fontId="24" fillId="7" borderId="75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24" fillId="7" borderId="2" xfId="0" applyFont="1" applyFill="1" applyBorder="1" applyAlignment="1">
      <alignment horizontal="center" vertical="center"/>
    </xf>
    <xf numFmtId="0" fontId="24" fillId="8" borderId="78" xfId="0" applyFont="1" applyFill="1" applyBorder="1" applyAlignment="1">
      <alignment horizontal="center" vertical="center" wrapText="1"/>
    </xf>
    <xf numFmtId="0" fontId="24" fillId="8" borderId="54" xfId="0" applyFont="1" applyFill="1" applyBorder="1" applyAlignment="1">
      <alignment horizontal="center" vertical="center" wrapText="1"/>
    </xf>
    <xf numFmtId="0" fontId="24" fillId="6" borderId="79" xfId="0" applyFont="1" applyFill="1" applyBorder="1" applyAlignment="1">
      <alignment horizontal="center" vertical="center" wrapText="1"/>
    </xf>
    <xf numFmtId="0" fontId="24" fillId="6" borderId="39" xfId="0" applyFont="1" applyFill="1" applyBorder="1" applyAlignment="1">
      <alignment horizontal="center" vertical="center" shrinkToFit="1"/>
    </xf>
    <xf numFmtId="0" fontId="24" fillId="6" borderId="55" xfId="0" applyFont="1" applyFill="1" applyBorder="1" applyAlignment="1">
      <alignment horizontal="center" vertical="center" shrinkToFit="1"/>
    </xf>
    <xf numFmtId="0" fontId="24" fillId="5" borderId="41" xfId="0" applyFont="1" applyFill="1" applyBorder="1" applyAlignment="1">
      <alignment horizontal="right" vertical="center"/>
    </xf>
    <xf numFmtId="0" fontId="24" fillId="5" borderId="54" xfId="0" applyFont="1" applyFill="1" applyBorder="1" applyAlignment="1">
      <alignment horizontal="right" vertical="center"/>
    </xf>
    <xf numFmtId="0" fontId="24" fillId="0" borderId="68" xfId="0" applyFont="1" applyBorder="1" applyAlignment="1">
      <alignment horizontal="left" vertical="center" shrinkToFit="1"/>
    </xf>
    <xf numFmtId="0" fontId="24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4" fillId="4" borderId="56" xfId="0" applyFont="1" applyFill="1" applyBorder="1" applyAlignment="1">
      <alignment vertical="center"/>
    </xf>
    <xf numFmtId="0" fontId="24" fillId="0" borderId="0" xfId="0" applyFont="1" applyAlignment="1">
      <alignment vertical="center" shrinkToFit="1"/>
    </xf>
    <xf numFmtId="0" fontId="28" fillId="7" borderId="70" xfId="0" applyFont="1" applyFill="1" applyBorder="1" applyAlignment="1">
      <alignment vertical="center"/>
    </xf>
    <xf numFmtId="38" fontId="28" fillId="0" borderId="0" xfId="1" applyFont="1" applyBorder="1" applyAlignment="1">
      <alignment vertical="center"/>
    </xf>
    <xf numFmtId="176" fontId="31" fillId="0" borderId="0" xfId="0" applyNumberFormat="1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4" fillId="4" borderId="58" xfId="0" applyFont="1" applyFill="1" applyBorder="1" applyAlignment="1">
      <alignment vertical="center"/>
    </xf>
    <xf numFmtId="0" fontId="28" fillId="7" borderId="69" xfId="0" applyFont="1" applyFill="1" applyBorder="1" applyAlignment="1">
      <alignment vertical="center"/>
    </xf>
    <xf numFmtId="180" fontId="28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0" fontId="28" fillId="7" borderId="58" xfId="0" applyFont="1" applyFill="1" applyBorder="1" applyAlignment="1">
      <alignment vertical="center"/>
    </xf>
    <xf numFmtId="38" fontId="28" fillId="0" borderId="0" xfId="1" applyFont="1" applyFill="1" applyBorder="1" applyAlignment="1">
      <alignment vertical="center"/>
    </xf>
    <xf numFmtId="176" fontId="30" fillId="0" borderId="0" xfId="0" applyNumberFormat="1" applyFont="1" applyAlignment="1">
      <alignment vertical="center"/>
    </xf>
    <xf numFmtId="176" fontId="26" fillId="0" borderId="0" xfId="0" applyNumberFormat="1" applyFont="1" applyAlignment="1">
      <alignment vertical="center"/>
    </xf>
    <xf numFmtId="0" fontId="24" fillId="4" borderId="59" xfId="0" applyFont="1" applyFill="1" applyBorder="1" applyAlignment="1">
      <alignment vertical="center"/>
    </xf>
    <xf numFmtId="185" fontId="24" fillId="4" borderId="43" xfId="1" applyNumberFormat="1" applyFont="1" applyFill="1" applyBorder="1" applyAlignment="1">
      <alignment vertical="center"/>
    </xf>
    <xf numFmtId="0" fontId="28" fillId="7" borderId="59" xfId="0" applyFont="1" applyFill="1" applyBorder="1" applyAlignment="1">
      <alignment vertical="center"/>
    </xf>
    <xf numFmtId="183" fontId="28" fillId="7" borderId="43" xfId="1" applyNumberFormat="1" applyFont="1" applyFill="1" applyBorder="1" applyAlignment="1">
      <alignment vertical="center"/>
    </xf>
    <xf numFmtId="181" fontId="28" fillId="0" borderId="0" xfId="0" applyNumberFormat="1" applyFont="1" applyAlignment="1">
      <alignment vertical="center"/>
    </xf>
    <xf numFmtId="176" fontId="31" fillId="0" borderId="0" xfId="0" applyNumberFormat="1" applyFont="1" applyAlignment="1">
      <alignment vertical="center"/>
    </xf>
    <xf numFmtId="182" fontId="28" fillId="0" borderId="0" xfId="0" applyNumberFormat="1" applyFont="1" applyAlignment="1">
      <alignment vertical="center"/>
    </xf>
    <xf numFmtId="0" fontId="28" fillId="6" borderId="32" xfId="0" applyFont="1" applyFill="1" applyBorder="1" applyAlignment="1">
      <alignment vertical="center"/>
    </xf>
    <xf numFmtId="0" fontId="26" fillId="0" borderId="56" xfId="0" applyFont="1" applyBorder="1" applyAlignment="1">
      <alignment vertical="center"/>
    </xf>
    <xf numFmtId="176" fontId="30" fillId="0" borderId="0" xfId="0" applyNumberFormat="1" applyFont="1" applyAlignment="1">
      <alignment vertical="center" wrapText="1"/>
    </xf>
    <xf numFmtId="0" fontId="28" fillId="6" borderId="33" xfId="0" applyFont="1" applyFill="1" applyBorder="1" applyAlignment="1">
      <alignment vertical="center"/>
    </xf>
    <xf numFmtId="185" fontId="28" fillId="6" borderId="60" xfId="1" applyNumberFormat="1" applyFont="1" applyFill="1" applyBorder="1" applyAlignment="1">
      <alignment vertical="center"/>
    </xf>
    <xf numFmtId="0" fontId="26" fillId="0" borderId="59" xfId="0" applyFont="1" applyBorder="1" applyAlignment="1">
      <alignment vertical="center"/>
    </xf>
    <xf numFmtId="0" fontId="28" fillId="6" borderId="34" xfId="0" applyFont="1" applyFill="1" applyBorder="1" applyAlignment="1">
      <alignment vertical="center"/>
    </xf>
    <xf numFmtId="0" fontId="24" fillId="2" borderId="56" xfId="0" applyFont="1" applyFill="1" applyBorder="1" applyAlignment="1">
      <alignment vertical="center"/>
    </xf>
    <xf numFmtId="180" fontId="24" fillId="0" borderId="57" xfId="0" applyNumberFormat="1" applyFont="1" applyBorder="1" applyAlignment="1">
      <alignment vertical="center"/>
    </xf>
    <xf numFmtId="0" fontId="28" fillId="6" borderId="50" xfId="0" applyFont="1" applyFill="1" applyBorder="1" applyAlignment="1">
      <alignment vertical="center"/>
    </xf>
    <xf numFmtId="0" fontId="24" fillId="2" borderId="58" xfId="0" applyFont="1" applyFill="1" applyBorder="1" applyAlignment="1">
      <alignment vertical="center"/>
    </xf>
    <xf numFmtId="183" fontId="24" fillId="0" borderId="35" xfId="1" applyNumberFormat="1" applyFont="1" applyBorder="1" applyAlignment="1">
      <alignment vertical="center"/>
    </xf>
    <xf numFmtId="176" fontId="24" fillId="0" borderId="35" xfId="0" applyNumberFormat="1" applyFont="1" applyBorder="1" applyAlignment="1">
      <alignment vertical="center"/>
    </xf>
    <xf numFmtId="183" fontId="24" fillId="0" borderId="35" xfId="0" applyNumberFormat="1" applyFont="1" applyBorder="1" applyAlignment="1">
      <alignment vertical="center"/>
    </xf>
    <xf numFmtId="0" fontId="28" fillId="6" borderId="36" xfId="0" applyFont="1" applyFill="1" applyBorder="1" applyAlignment="1">
      <alignment vertical="center"/>
    </xf>
    <xf numFmtId="180" fontId="24" fillId="0" borderId="35" xfId="0" applyNumberFormat="1" applyFont="1" applyBorder="1" applyAlignment="1">
      <alignment vertical="center"/>
    </xf>
    <xf numFmtId="183" fontId="28" fillId="5" borderId="56" xfId="1" applyNumberFormat="1" applyFont="1" applyFill="1" applyBorder="1" applyAlignment="1">
      <alignment vertical="center"/>
    </xf>
    <xf numFmtId="183" fontId="28" fillId="5" borderId="57" xfId="1" applyNumberFormat="1" applyFont="1" applyFill="1" applyBorder="1" applyAlignment="1">
      <alignment vertical="center"/>
    </xf>
    <xf numFmtId="0" fontId="24" fillId="2" borderId="59" xfId="0" applyFont="1" applyFill="1" applyBorder="1" applyAlignment="1">
      <alignment vertical="center"/>
    </xf>
    <xf numFmtId="183" fontId="24" fillId="0" borderId="43" xfId="0" applyNumberFormat="1" applyFont="1" applyBorder="1" applyAlignment="1">
      <alignment vertical="center"/>
    </xf>
    <xf numFmtId="183" fontId="28" fillId="5" borderId="64" xfId="1" applyNumberFormat="1" applyFont="1" applyFill="1" applyBorder="1" applyAlignment="1">
      <alignment vertical="center"/>
    </xf>
    <xf numFmtId="183" fontId="28" fillId="5" borderId="49" xfId="1" applyNumberFormat="1" applyFont="1" applyFill="1" applyBorder="1" applyAlignment="1">
      <alignment vertical="center"/>
    </xf>
    <xf numFmtId="183" fontId="28" fillId="5" borderId="65" xfId="1" applyNumberFormat="1" applyFont="1" applyFill="1" applyBorder="1" applyAlignment="1">
      <alignment vertical="center"/>
    </xf>
    <xf numFmtId="176" fontId="28" fillId="5" borderId="66" xfId="2" applyNumberFormat="1" applyFont="1" applyFill="1" applyBorder="1" applyAlignment="1">
      <alignment vertical="center"/>
    </xf>
    <xf numFmtId="183" fontId="28" fillId="5" borderId="67" xfId="1" applyNumberFormat="1" applyFont="1" applyFill="1" applyBorder="1" applyAlignment="1">
      <alignment vertical="center"/>
    </xf>
    <xf numFmtId="176" fontId="30" fillId="0" borderId="0" xfId="0" applyNumberFormat="1" applyFont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176" fontId="26" fillId="0" borderId="0" xfId="0" applyNumberFormat="1" applyFont="1" applyAlignment="1">
      <alignment horizontal="center" vertical="center"/>
    </xf>
    <xf numFmtId="176" fontId="24" fillId="0" borderId="45" xfId="0" applyNumberFormat="1" applyFont="1" applyBorder="1" applyAlignment="1">
      <alignment horizontal="center" vertical="center" shrinkToFit="1"/>
    </xf>
    <xf numFmtId="184" fontId="25" fillId="0" borderId="57" xfId="3" applyNumberFormat="1" applyFont="1" applyFill="1" applyBorder="1" applyAlignment="1" applyProtection="1">
      <alignment vertical="center"/>
      <protection locked="0"/>
    </xf>
    <xf numFmtId="183" fontId="28" fillId="0" borderId="45" xfId="1" applyNumberFormat="1" applyFont="1" applyBorder="1" applyAlignment="1" applyProtection="1">
      <alignment vertical="center"/>
      <protection locked="0"/>
    </xf>
    <xf numFmtId="183" fontId="28" fillId="0" borderId="38" xfId="1" applyNumberFormat="1" applyFont="1" applyBorder="1" applyAlignment="1" applyProtection="1">
      <alignment vertical="center"/>
      <protection locked="0"/>
    </xf>
    <xf numFmtId="181" fontId="28" fillId="0" borderId="35" xfId="0" applyNumberFormat="1" applyFont="1" applyBorder="1" applyAlignment="1" applyProtection="1">
      <alignment vertical="center"/>
      <protection locked="0"/>
    </xf>
    <xf numFmtId="182" fontId="28" fillId="7" borderId="35" xfId="0" applyNumberFormat="1" applyFont="1" applyFill="1" applyBorder="1" applyAlignment="1">
      <alignment vertical="center"/>
    </xf>
    <xf numFmtId="183" fontId="26" fillId="0" borderId="57" xfId="0" applyNumberFormat="1" applyFont="1" applyBorder="1" applyAlignment="1" applyProtection="1">
      <alignment vertical="center"/>
      <protection locked="0"/>
    </xf>
    <xf numFmtId="183" fontId="26" fillId="0" borderId="43" xfId="0" applyNumberFormat="1" applyFont="1" applyBorder="1" applyAlignment="1" applyProtection="1">
      <alignment vertical="center"/>
      <protection locked="0"/>
    </xf>
    <xf numFmtId="178" fontId="24" fillId="0" borderId="57" xfId="0" applyNumberFormat="1" applyFont="1" applyBorder="1" applyAlignment="1" applyProtection="1">
      <alignment vertical="center"/>
      <protection locked="0"/>
    </xf>
    <xf numFmtId="179" fontId="24" fillId="0" borderId="35" xfId="0" applyNumberFormat="1" applyFont="1" applyBorder="1" applyAlignment="1" applyProtection="1">
      <alignment vertical="center"/>
      <protection locked="0"/>
    </xf>
    <xf numFmtId="185" fontId="24" fillId="0" borderId="35" xfId="1" applyNumberFormat="1" applyFont="1" applyBorder="1" applyAlignment="1" applyProtection="1">
      <alignment vertical="center"/>
      <protection locked="0"/>
    </xf>
    <xf numFmtId="185" fontId="24" fillId="0" borderId="35" xfId="0" applyNumberFormat="1" applyFont="1" applyBorder="1" applyAlignment="1" applyProtection="1">
      <alignment vertical="center"/>
      <protection locked="0"/>
    </xf>
    <xf numFmtId="182" fontId="28" fillId="0" borderId="61" xfId="0" applyNumberFormat="1" applyFont="1" applyBorder="1" applyAlignment="1" applyProtection="1">
      <alignment vertical="center"/>
      <protection locked="0"/>
    </xf>
    <xf numFmtId="186" fontId="28" fillId="0" borderId="52" xfId="0" applyNumberFormat="1" applyFont="1" applyBorder="1" applyAlignment="1" applyProtection="1">
      <alignment vertical="center"/>
      <protection locked="0"/>
    </xf>
    <xf numFmtId="183" fontId="28" fillId="0" borderId="52" xfId="1" applyNumberFormat="1" applyFont="1" applyBorder="1" applyAlignment="1" applyProtection="1">
      <alignment vertical="center"/>
      <protection locked="0"/>
    </xf>
    <xf numFmtId="9" fontId="28" fillId="0" borderId="62" xfId="2" applyFont="1" applyBorder="1" applyAlignment="1" applyProtection="1">
      <alignment vertical="center"/>
      <protection locked="0"/>
    </xf>
    <xf numFmtId="9" fontId="28" fillId="0" borderId="53" xfId="2" applyFont="1" applyBorder="1" applyAlignment="1" applyProtection="1">
      <alignment vertical="center"/>
      <protection locked="0"/>
    </xf>
    <xf numFmtId="9" fontId="28" fillId="0" borderId="63" xfId="2" applyFont="1" applyBorder="1" applyAlignment="1" applyProtection="1">
      <alignment vertical="center"/>
      <protection locked="0"/>
    </xf>
    <xf numFmtId="9" fontId="28" fillId="0" borderId="48" xfId="2" applyFont="1" applyBorder="1" applyAlignment="1" applyProtection="1">
      <alignment vertical="center"/>
      <protection locked="0"/>
    </xf>
  </cellXfs>
  <cellStyles count="4">
    <cellStyle name="パーセント" xfId="2" builtinId="5"/>
    <cellStyle name="桁区切り" xfId="1" builtinId="6"/>
    <cellStyle name="桁区切り 2" xfId="3" xr:uid="{69B387C1-EB22-4774-9140-35B08C906DF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172357</xdr:colOff>
      <xdr:row>12</xdr:row>
      <xdr:rowOff>235857</xdr:rowOff>
    </xdr:from>
    <xdr:to>
      <xdr:col>15</xdr:col>
      <xdr:colOff>675344</xdr:colOff>
      <xdr:row>17</xdr:row>
      <xdr:rowOff>34251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2395892-CB12-781F-8CC3-819AC02B0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78571" y="6096000"/>
          <a:ext cx="9583487" cy="16671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55B52-4769-421F-92FB-0878E3CCD740}">
  <sheetPr>
    <tabColor rgb="FFFFFF00"/>
    <pageSetUpPr fitToPage="1"/>
  </sheetPr>
  <dimension ref="A1:M46"/>
  <sheetViews>
    <sheetView showGridLines="0" topLeftCell="A12" zoomScale="70" zoomScaleNormal="70" zoomScalePageLayoutView="60" workbookViewId="0">
      <selection activeCell="C20" sqref="C20"/>
    </sheetView>
  </sheetViews>
  <sheetFormatPr defaultColWidth="12.7265625" defaultRowHeight="14.4" x14ac:dyDescent="0.5"/>
  <cols>
    <col min="1" max="1" width="8" style="10" customWidth="1"/>
    <col min="2" max="2" width="32.08984375" style="10" customWidth="1"/>
    <col min="3" max="3" width="20" style="10" customWidth="1"/>
    <col min="4" max="4" width="4" style="10" bestFit="1" customWidth="1"/>
    <col min="5" max="5" width="11.81640625" style="11" customWidth="1"/>
    <col min="6" max="6" width="42.81640625" style="9" bestFit="1" customWidth="1"/>
    <col min="7" max="7" width="4" style="10" customWidth="1"/>
    <col min="8" max="10" width="12.7265625" style="10"/>
    <col min="11" max="11" width="16.7265625" style="10" bestFit="1" customWidth="1"/>
    <col min="12" max="16384" width="12.7265625" style="10"/>
  </cols>
  <sheetData>
    <row r="1" spans="1:13" ht="39" customHeight="1" x14ac:dyDescent="0.5">
      <c r="A1" s="129" t="s">
        <v>0</v>
      </c>
    </row>
    <row r="2" spans="1:13" s="2" customFormat="1" ht="39" customHeight="1" x14ac:dyDescent="0.5">
      <c r="A2" s="3"/>
      <c r="B2" s="3"/>
      <c r="C2" s="13" t="s">
        <v>1</v>
      </c>
      <c r="D2" s="13"/>
      <c r="E2" s="13"/>
      <c r="F2" s="125" t="s">
        <v>2</v>
      </c>
    </row>
    <row r="3" spans="1:13" s="4" customFormat="1" ht="39" customHeight="1" x14ac:dyDescent="0.5">
      <c r="A3" s="3"/>
      <c r="B3" s="102" t="s">
        <v>3</v>
      </c>
      <c r="C3" s="103">
        <v>10</v>
      </c>
      <c r="D3" s="102" t="s">
        <v>4</v>
      </c>
      <c r="E3" s="104" t="s">
        <v>5</v>
      </c>
      <c r="F3" s="103">
        <v>15000</v>
      </c>
      <c r="G3" s="102" t="s">
        <v>6</v>
      </c>
    </row>
    <row r="4" spans="1:13" s="4" customFormat="1" ht="39" customHeight="1" thickBot="1" x14ac:dyDescent="0.55000000000000004">
      <c r="A4" s="3"/>
      <c r="B4" s="116" t="s">
        <v>7</v>
      </c>
      <c r="C4" s="117">
        <v>15</v>
      </c>
      <c r="D4" s="116" t="s">
        <v>8</v>
      </c>
      <c r="E4" s="104" t="s">
        <v>9</v>
      </c>
      <c r="F4" s="106">
        <f>F3*C3</f>
        <v>150000</v>
      </c>
      <c r="G4" s="102" t="s">
        <v>6</v>
      </c>
      <c r="I4" s="167" t="s">
        <v>10</v>
      </c>
      <c r="J4" s="167"/>
      <c r="K4" s="167"/>
      <c r="L4" s="167"/>
    </row>
    <row r="5" spans="1:13" s="4" customFormat="1" ht="39" customHeight="1" thickTop="1" thickBot="1" x14ac:dyDescent="0.55000000000000004">
      <c r="A5" s="3"/>
      <c r="B5" s="121" t="s">
        <v>11</v>
      </c>
      <c r="C5" s="122">
        <v>4000</v>
      </c>
      <c r="D5" s="123" t="s">
        <v>6</v>
      </c>
      <c r="E5" s="114" t="s">
        <v>12</v>
      </c>
      <c r="F5" s="103"/>
      <c r="G5" s="102" t="s">
        <v>6</v>
      </c>
      <c r="H5" s="4" t="s">
        <v>13</v>
      </c>
      <c r="I5" s="126">
        <f>(F6/0.15)/C6/C5/C4</f>
        <v>0.66666666666666663</v>
      </c>
      <c r="J5" s="127" t="s">
        <v>14</v>
      </c>
    </row>
    <row r="6" spans="1:13" s="4" customFormat="1" ht="39" customHeight="1" thickTop="1" x14ac:dyDescent="0.5">
      <c r="A6" s="3"/>
      <c r="B6" s="119" t="s">
        <v>15</v>
      </c>
      <c r="C6" s="120">
        <v>25</v>
      </c>
      <c r="D6" s="119" t="s">
        <v>16</v>
      </c>
      <c r="E6" s="107" t="s">
        <v>17</v>
      </c>
      <c r="F6" s="106">
        <f>F5+F4</f>
        <v>150000</v>
      </c>
      <c r="G6" s="102" t="s">
        <v>6</v>
      </c>
      <c r="H6" s="4" t="s">
        <v>18</v>
      </c>
      <c r="I6" s="126">
        <f>(F6/0.1)/C6/C5/C4</f>
        <v>1</v>
      </c>
      <c r="J6" s="127" t="s">
        <v>14</v>
      </c>
    </row>
    <row r="7" spans="1:13" s="4" customFormat="1" ht="39" customHeight="1" thickBot="1" x14ac:dyDescent="0.55000000000000004">
      <c r="A7" s="3"/>
      <c r="B7" s="116" t="s">
        <v>19</v>
      </c>
      <c r="C7" s="118">
        <f>F10/C6</f>
        <v>60000</v>
      </c>
      <c r="D7" s="116" t="s">
        <v>6</v>
      </c>
      <c r="E7" s="108" t="s">
        <v>20</v>
      </c>
      <c r="F7" s="109">
        <v>0.3</v>
      </c>
      <c r="G7" s="110"/>
      <c r="I7" s="4" t="s">
        <v>21</v>
      </c>
    </row>
    <row r="8" spans="1:13" s="4" customFormat="1" ht="39" customHeight="1" thickTop="1" thickBot="1" x14ac:dyDescent="0.55000000000000004">
      <c r="A8" s="3"/>
      <c r="B8" s="121" t="s">
        <v>22</v>
      </c>
      <c r="C8" s="124">
        <f>C7/C5/C4</f>
        <v>1</v>
      </c>
      <c r="D8" s="123" t="s">
        <v>23</v>
      </c>
      <c r="E8" s="115" t="s">
        <v>24</v>
      </c>
      <c r="F8" s="105">
        <v>150000</v>
      </c>
      <c r="G8" s="102" t="s">
        <v>6</v>
      </c>
      <c r="I8" s="167" t="s">
        <v>25</v>
      </c>
      <c r="J8" s="167"/>
      <c r="K8" s="167"/>
      <c r="L8" s="167"/>
    </row>
    <row r="9" spans="1:13" s="4" customFormat="1" ht="39" customHeight="1" x14ac:dyDescent="0.5">
      <c r="A9" s="3"/>
      <c r="B9" s="102" t="s">
        <v>26</v>
      </c>
      <c r="C9" s="105">
        <v>1500</v>
      </c>
      <c r="D9" s="102" t="s">
        <v>6</v>
      </c>
      <c r="E9" s="107" t="s">
        <v>27</v>
      </c>
      <c r="F9" s="105">
        <v>5</v>
      </c>
      <c r="G9" s="102" t="s">
        <v>28</v>
      </c>
      <c r="I9" s="4" t="s">
        <v>29</v>
      </c>
      <c r="J9" s="127"/>
      <c r="K9" s="126">
        <f>$F$10/$C$6/$C$4/1200</f>
        <v>3.3333333333333335</v>
      </c>
      <c r="L9" s="127" t="s">
        <v>14</v>
      </c>
    </row>
    <row r="10" spans="1:13" s="4" customFormat="1" ht="39" customHeight="1" x14ac:dyDescent="0.5">
      <c r="A10" s="3"/>
      <c r="B10" s="112" t="s">
        <v>30</v>
      </c>
      <c r="C10" s="105">
        <v>10</v>
      </c>
      <c r="D10" s="113" t="s">
        <v>31</v>
      </c>
      <c r="E10" s="111" t="s">
        <v>68</v>
      </c>
      <c r="F10" s="106">
        <f>$F$6/0.1</f>
        <v>1500000</v>
      </c>
      <c r="G10" s="102" t="s">
        <v>6</v>
      </c>
      <c r="H10" s="95"/>
      <c r="I10" s="4" t="s">
        <v>32</v>
      </c>
      <c r="J10" s="127"/>
      <c r="K10" s="126">
        <f>$F$10/$C$6/$C$4/2000</f>
        <v>2</v>
      </c>
      <c r="L10" s="127" t="s">
        <v>14</v>
      </c>
    </row>
    <row r="11" spans="1:13" s="4" customFormat="1" ht="39" customHeight="1" x14ac:dyDescent="0.5">
      <c r="A11" s="3"/>
      <c r="B11" s="3"/>
      <c r="C11" s="5"/>
      <c r="D11" s="3"/>
      <c r="E11" s="12"/>
      <c r="F11" s="130" t="s">
        <v>66</v>
      </c>
      <c r="I11" s="4" t="s">
        <v>33</v>
      </c>
      <c r="J11" s="127"/>
      <c r="K11" s="126">
        <f>$F$10/$C$6/$C$4/4000</f>
        <v>1</v>
      </c>
      <c r="L11" s="127" t="s">
        <v>14</v>
      </c>
    </row>
    <row r="12" spans="1:13" s="4" customFormat="1" ht="29.55" customHeight="1" x14ac:dyDescent="0.5">
      <c r="A12" s="3"/>
      <c r="B12" s="3"/>
      <c r="C12" s="5"/>
      <c r="D12" s="3"/>
      <c r="E12" s="12"/>
      <c r="F12" s="6"/>
      <c r="I12" s="4" t="s">
        <v>35</v>
      </c>
      <c r="J12" s="1"/>
      <c r="K12" s="126">
        <f>$F$10/$C$6/$C$4/6000</f>
        <v>0.66666666666666663</v>
      </c>
      <c r="L12" s="127" t="s">
        <v>14</v>
      </c>
      <c r="M12" s="2"/>
    </row>
    <row r="13" spans="1:13" s="2" customFormat="1" ht="29.55" customHeight="1" x14ac:dyDescent="0.5">
      <c r="A13" s="3" t="s">
        <v>34</v>
      </c>
      <c r="B13" s="3"/>
      <c r="C13" s="3"/>
      <c r="D13" s="3"/>
      <c r="E13" s="3"/>
      <c r="F13" s="1"/>
      <c r="I13" s="4"/>
    </row>
    <row r="14" spans="1:13" s="2" customFormat="1" ht="27" customHeight="1" thickBot="1" x14ac:dyDescent="0.55000000000000004">
      <c r="A14" s="174"/>
      <c r="B14" s="175"/>
      <c r="C14" s="172"/>
      <c r="D14" s="173"/>
      <c r="E14" s="17" t="s">
        <v>36</v>
      </c>
      <c r="F14" s="18" t="s">
        <v>37</v>
      </c>
      <c r="I14" s="23"/>
      <c r="J14" s="23"/>
      <c r="K14" s="23"/>
      <c r="L14" s="23"/>
      <c r="M14" s="23"/>
    </row>
    <row r="15" spans="1:13" s="23" customFormat="1" ht="31.05" customHeight="1" thickTop="1" x14ac:dyDescent="0.5">
      <c r="A15" s="19"/>
      <c r="B15" s="84" t="s">
        <v>38</v>
      </c>
      <c r="C15" s="14">
        <f>F10</f>
        <v>1500000</v>
      </c>
      <c r="D15" s="20" t="s">
        <v>39</v>
      </c>
      <c r="E15" s="21"/>
      <c r="F15" s="22"/>
      <c r="I15" s="26"/>
      <c r="J15" s="26"/>
      <c r="K15" s="26"/>
      <c r="L15" s="26"/>
      <c r="M15" s="26"/>
    </row>
    <row r="16" spans="1:13" s="26" customFormat="1" ht="31.05" customHeight="1" thickBot="1" x14ac:dyDescent="0.55000000000000004">
      <c r="A16" s="168" t="s">
        <v>40</v>
      </c>
      <c r="B16" s="169"/>
      <c r="C16" s="15">
        <f>SUM(C15:C15)</f>
        <v>1500000</v>
      </c>
      <c r="D16" s="24" t="s">
        <v>6</v>
      </c>
      <c r="E16" s="25"/>
      <c r="F16" s="22"/>
      <c r="I16" s="33"/>
      <c r="J16" s="33"/>
      <c r="K16" s="33"/>
      <c r="L16" s="33"/>
      <c r="M16" s="33"/>
    </row>
    <row r="17" spans="1:13" s="33" customFormat="1" ht="29.55" customHeight="1" thickTop="1" thickBot="1" x14ac:dyDescent="0.55000000000000004">
      <c r="A17" s="27"/>
      <c r="B17" s="28"/>
      <c r="C17" s="29"/>
      <c r="D17" s="30"/>
      <c r="E17" s="31"/>
      <c r="F17" s="32"/>
    </row>
    <row r="18" spans="1:13" s="33" customFormat="1" ht="31.05" customHeight="1" thickTop="1" x14ac:dyDescent="0.5">
      <c r="A18" s="34"/>
      <c r="B18" s="35" t="s">
        <v>41</v>
      </c>
      <c r="C18" s="36">
        <f>E18*C16</f>
        <v>450000</v>
      </c>
      <c r="D18" s="37" t="s">
        <v>6</v>
      </c>
      <c r="E18" s="38">
        <f>F7</f>
        <v>0.3</v>
      </c>
      <c r="F18" s="91" t="s">
        <v>42</v>
      </c>
      <c r="I18" s="2"/>
      <c r="J18" s="2"/>
      <c r="K18" s="2"/>
      <c r="L18" s="2"/>
      <c r="M18" s="2"/>
    </row>
    <row r="19" spans="1:13" s="2" customFormat="1" ht="31.05" customHeight="1" x14ac:dyDescent="0.5">
      <c r="A19" s="170" t="s">
        <v>43</v>
      </c>
      <c r="B19" s="171"/>
      <c r="C19" s="39">
        <f>C18</f>
        <v>450000</v>
      </c>
      <c r="D19" s="40" t="s">
        <v>6</v>
      </c>
      <c r="E19" s="41">
        <f>C19/C16</f>
        <v>0.3</v>
      </c>
      <c r="F19" s="42"/>
    </row>
    <row r="20" spans="1:13" s="2" customFormat="1" ht="31.05" customHeight="1" thickBot="1" x14ac:dyDescent="0.55000000000000004">
      <c r="A20" s="182" t="s">
        <v>44</v>
      </c>
      <c r="B20" s="183"/>
      <c r="C20" s="7">
        <f>C16-C19</f>
        <v>1050000</v>
      </c>
      <c r="D20" s="43" t="s">
        <v>6</v>
      </c>
      <c r="E20" s="44">
        <f>C20/C16</f>
        <v>0.7</v>
      </c>
      <c r="F20" s="45"/>
    </row>
    <row r="21" spans="1:13" s="2" customFormat="1" ht="29.55" customHeight="1" thickTop="1" x14ac:dyDescent="0.5">
      <c r="A21" s="48"/>
      <c r="B21" s="48"/>
      <c r="C21" s="49"/>
      <c r="D21" s="50"/>
      <c r="E21" s="51"/>
      <c r="F21" s="52"/>
    </row>
    <row r="22" spans="1:13" s="2" customFormat="1" ht="29.55" customHeight="1" x14ac:dyDescent="0.5">
      <c r="A22" s="184" t="s">
        <v>45</v>
      </c>
      <c r="B22" s="18" t="s">
        <v>46</v>
      </c>
      <c r="C22" s="53">
        <f>F8</f>
        <v>150000</v>
      </c>
      <c r="D22" s="54" t="s">
        <v>6</v>
      </c>
      <c r="E22" s="55">
        <f>C22/C16</f>
        <v>0.1</v>
      </c>
      <c r="F22" s="131" t="s">
        <v>71</v>
      </c>
    </row>
    <row r="23" spans="1:13" s="2" customFormat="1" ht="29.55" customHeight="1" thickBot="1" x14ac:dyDescent="0.55000000000000004">
      <c r="A23" s="185"/>
      <c r="B23" s="18" t="s">
        <v>47</v>
      </c>
      <c r="C23" s="53">
        <f>C10*C9*C6</f>
        <v>375000</v>
      </c>
      <c r="D23" s="54" t="s">
        <v>6</v>
      </c>
      <c r="E23" s="55">
        <f>C23/C16</f>
        <v>0.25</v>
      </c>
      <c r="F23" s="45"/>
    </row>
    <row r="24" spans="1:13" s="2" customFormat="1" ht="31.05" customHeight="1" thickTop="1" thickBot="1" x14ac:dyDescent="0.55000000000000004">
      <c r="A24" s="170" t="s">
        <v>48</v>
      </c>
      <c r="B24" s="171"/>
      <c r="C24" s="16">
        <f>SUM(C22:C23)</f>
        <v>525000</v>
      </c>
      <c r="D24" s="57" t="s">
        <v>6</v>
      </c>
      <c r="E24" s="41">
        <f>C24/C16</f>
        <v>0.35</v>
      </c>
      <c r="F24" s="56"/>
    </row>
    <row r="25" spans="1:13" s="2" customFormat="1" ht="31.05" customHeight="1" thickTop="1" thickBot="1" x14ac:dyDescent="0.55000000000000004">
      <c r="A25" s="174" t="s">
        <v>49</v>
      </c>
      <c r="B25" s="175"/>
      <c r="C25" s="58">
        <f>F6</f>
        <v>150000</v>
      </c>
      <c r="D25" s="59" t="s">
        <v>6</v>
      </c>
      <c r="E25" s="55">
        <f>C25/C16</f>
        <v>0.1</v>
      </c>
      <c r="F25" s="45"/>
    </row>
    <row r="26" spans="1:13" s="2" customFormat="1" ht="31.05" customHeight="1" thickTop="1" thickBot="1" x14ac:dyDescent="0.55000000000000004">
      <c r="A26" s="176" t="s">
        <v>50</v>
      </c>
      <c r="B26" s="177"/>
      <c r="C26" s="16">
        <f>C25</f>
        <v>150000</v>
      </c>
      <c r="D26" s="57" t="s">
        <v>6</v>
      </c>
      <c r="E26" s="41">
        <f>C26/C16</f>
        <v>0.1</v>
      </c>
      <c r="F26" s="90" t="s">
        <v>51</v>
      </c>
    </row>
    <row r="27" spans="1:13" s="2" customFormat="1" ht="29.55" customHeight="1" thickTop="1" thickBot="1" x14ac:dyDescent="0.55000000000000004">
      <c r="A27" s="60"/>
      <c r="B27" s="61"/>
      <c r="C27" s="8"/>
      <c r="D27" s="62"/>
      <c r="E27" s="63"/>
      <c r="F27" s="64"/>
    </row>
    <row r="28" spans="1:13" s="2" customFormat="1" ht="31.05" customHeight="1" thickTop="1" thickBot="1" x14ac:dyDescent="0.55000000000000004">
      <c r="A28" s="180" t="s">
        <v>52</v>
      </c>
      <c r="B28" s="181"/>
      <c r="C28" s="16">
        <f>C16*E28</f>
        <v>300000</v>
      </c>
      <c r="D28" s="57" t="s">
        <v>6</v>
      </c>
      <c r="E28" s="93">
        <f>IF(C15&lt;=1500000,0.2,IF(C15&lt;3000000,0.15,0.1))</f>
        <v>0.2</v>
      </c>
      <c r="F28" s="128" t="s">
        <v>67</v>
      </c>
    </row>
    <row r="29" spans="1:13" s="2" customFormat="1" ht="29.55" customHeight="1" thickTop="1" x14ac:dyDescent="0.5">
      <c r="A29" s="65"/>
      <c r="B29" s="9"/>
      <c r="C29" s="46"/>
      <c r="D29" s="66"/>
      <c r="E29" s="51"/>
      <c r="F29" s="47"/>
    </row>
    <row r="30" spans="1:13" s="2" customFormat="1" ht="31.05" customHeight="1" x14ac:dyDescent="0.5">
      <c r="A30" s="174" t="s">
        <v>53</v>
      </c>
      <c r="B30" s="175"/>
      <c r="C30" s="53">
        <f>C19+C23+C28</f>
        <v>1125000</v>
      </c>
      <c r="D30" s="54" t="s">
        <v>6</v>
      </c>
      <c r="E30" s="67">
        <f>C30/C16</f>
        <v>0.75</v>
      </c>
      <c r="F30" s="90"/>
    </row>
    <row r="31" spans="1:13" s="2" customFormat="1" ht="31.05" customHeight="1" x14ac:dyDescent="0.5">
      <c r="A31" s="178" t="s">
        <v>54</v>
      </c>
      <c r="B31" s="179"/>
      <c r="C31" s="53">
        <f>C22+C26</f>
        <v>300000</v>
      </c>
      <c r="D31" s="54" t="s">
        <v>6</v>
      </c>
      <c r="E31" s="67">
        <f>C31/C16</f>
        <v>0.2</v>
      </c>
      <c r="F31" s="90"/>
    </row>
    <row r="32" spans="1:13" s="2" customFormat="1" ht="31.05" customHeight="1" x14ac:dyDescent="0.5">
      <c r="A32" s="178" t="s">
        <v>55</v>
      </c>
      <c r="B32" s="179"/>
      <c r="C32" s="68">
        <f>SUM(C30:C31)</f>
        <v>1425000</v>
      </c>
      <c r="D32" s="69" t="s">
        <v>6</v>
      </c>
      <c r="E32" s="70">
        <f>C32/C16</f>
        <v>0.95</v>
      </c>
      <c r="F32" s="90"/>
    </row>
    <row r="33" spans="1:13" s="2" customFormat="1" ht="29.55" customHeight="1" x14ac:dyDescent="0.5">
      <c r="A33" s="71"/>
      <c r="B33" s="72"/>
      <c r="C33" s="73"/>
      <c r="D33" s="74"/>
      <c r="E33" s="92"/>
      <c r="F33" s="82"/>
      <c r="I33" s="80"/>
      <c r="J33" s="80"/>
      <c r="K33" s="80"/>
      <c r="L33" s="80"/>
      <c r="M33" s="80"/>
    </row>
    <row r="34" spans="1:13" s="80" customFormat="1" ht="31.05" customHeight="1" x14ac:dyDescent="0.5">
      <c r="A34" s="75"/>
      <c r="B34" s="76" t="s">
        <v>56</v>
      </c>
      <c r="C34" s="77">
        <f>C16-C32</f>
        <v>75000</v>
      </c>
      <c r="D34" s="78" t="s">
        <v>6</v>
      </c>
      <c r="E34" s="79">
        <f>C34/C16</f>
        <v>0.05</v>
      </c>
      <c r="F34" s="90"/>
      <c r="I34" s="2"/>
      <c r="J34" s="2"/>
      <c r="K34" s="2"/>
      <c r="L34" s="2"/>
      <c r="M34" s="2"/>
    </row>
    <row r="35" spans="1:13" s="2" customFormat="1" ht="29.55" customHeight="1" thickBot="1" x14ac:dyDescent="0.55000000000000004">
      <c r="A35" s="10"/>
      <c r="B35" s="9"/>
      <c r="C35" s="81"/>
      <c r="D35" s="81"/>
      <c r="E35" s="82"/>
      <c r="F35" s="83"/>
    </row>
    <row r="36" spans="1:13" s="2" customFormat="1" ht="29.55" customHeight="1" thickTop="1" thickBot="1" x14ac:dyDescent="0.55000000000000004">
      <c r="A36" s="75"/>
      <c r="B36" s="96" t="s">
        <v>57</v>
      </c>
      <c r="C36" s="97">
        <f>ROUNDUP(C31/(C5*(1-E30)),)</f>
        <v>300</v>
      </c>
      <c r="D36" s="98" t="s">
        <v>58</v>
      </c>
      <c r="E36" s="94"/>
      <c r="F36" s="90"/>
    </row>
    <row r="37" spans="1:13" s="2" customFormat="1" ht="29.55" customHeight="1" thickTop="1" thickBot="1" x14ac:dyDescent="0.55000000000000004">
      <c r="A37" s="75"/>
      <c r="B37" s="99" t="s">
        <v>59</v>
      </c>
      <c r="C37" s="97">
        <f>ROUNDUP(C36/C6,)</f>
        <v>12</v>
      </c>
      <c r="D37" s="98" t="s">
        <v>58</v>
      </c>
      <c r="E37" s="94"/>
      <c r="F37" s="90"/>
    </row>
    <row r="38" spans="1:13" s="2" customFormat="1" ht="29.55" customHeight="1" thickTop="1" thickBot="1" x14ac:dyDescent="0.55000000000000004">
      <c r="A38" s="75"/>
      <c r="B38" s="99" t="s">
        <v>60</v>
      </c>
      <c r="C38" s="97">
        <f>C5*(1-E30)</f>
        <v>1000</v>
      </c>
      <c r="D38" s="98" t="s">
        <v>6</v>
      </c>
      <c r="E38" s="94"/>
      <c r="F38" s="90"/>
    </row>
    <row r="39" spans="1:13" s="2" customFormat="1" ht="29.55" customHeight="1" thickTop="1" thickBot="1" x14ac:dyDescent="0.55000000000000004">
      <c r="A39" s="75"/>
      <c r="B39" s="96" t="s">
        <v>61</v>
      </c>
      <c r="C39" s="97">
        <f>C36*C5</f>
        <v>1200000</v>
      </c>
      <c r="D39" s="98" t="s">
        <v>6</v>
      </c>
      <c r="E39" s="94"/>
      <c r="F39" s="90"/>
    </row>
    <row r="40" spans="1:13" s="2" customFormat="1" ht="29.55" customHeight="1" thickTop="1" thickBot="1" x14ac:dyDescent="0.55000000000000004">
      <c r="A40" s="85"/>
      <c r="B40" s="86"/>
      <c r="C40" s="87"/>
      <c r="D40" s="88"/>
      <c r="E40" s="89"/>
      <c r="F40" s="83"/>
    </row>
    <row r="41" spans="1:13" s="2" customFormat="1" ht="29.55" customHeight="1" thickTop="1" thickBot="1" x14ac:dyDescent="0.55000000000000004">
      <c r="A41" s="75"/>
      <c r="B41" s="96" t="s">
        <v>27</v>
      </c>
      <c r="C41" s="97">
        <f>F9</f>
        <v>5</v>
      </c>
      <c r="D41" s="98" t="s">
        <v>28</v>
      </c>
      <c r="E41" s="94"/>
      <c r="F41" s="90"/>
    </row>
    <row r="42" spans="1:13" s="2" customFormat="1" ht="29.55" customHeight="1" thickTop="1" thickBot="1" x14ac:dyDescent="0.55000000000000004">
      <c r="A42" s="75"/>
      <c r="B42" s="99" t="s">
        <v>62</v>
      </c>
      <c r="C42" s="97">
        <f>C43*C41*12</f>
        <v>3240000</v>
      </c>
      <c r="D42" s="98" t="s">
        <v>6</v>
      </c>
      <c r="E42" s="94"/>
      <c r="F42" s="90"/>
    </row>
    <row r="43" spans="1:13" s="2" customFormat="1" ht="29.55" customHeight="1" thickTop="1" thickBot="1" x14ac:dyDescent="0.55000000000000004">
      <c r="A43" s="75"/>
      <c r="B43" s="96" t="s">
        <v>70</v>
      </c>
      <c r="C43" s="97">
        <f>C34*0.8*0.9</f>
        <v>54000</v>
      </c>
      <c r="D43" s="98" t="s">
        <v>6</v>
      </c>
      <c r="E43" s="94"/>
      <c r="F43" s="90" t="s">
        <v>69</v>
      </c>
    </row>
    <row r="44" spans="1:13" s="2" customFormat="1" ht="29.55" customHeight="1" thickTop="1" thickBot="1" x14ac:dyDescent="0.55000000000000004">
      <c r="A44" s="75"/>
      <c r="B44" s="100" t="s">
        <v>63</v>
      </c>
      <c r="C44" s="97">
        <f>C42/6*4</f>
        <v>2160000</v>
      </c>
      <c r="D44" s="98" t="s">
        <v>6</v>
      </c>
      <c r="E44" s="94"/>
      <c r="F44" s="165" t="s">
        <v>64</v>
      </c>
    </row>
    <row r="45" spans="1:13" s="2" customFormat="1" ht="29.55" customHeight="1" thickTop="1" thickBot="1" x14ac:dyDescent="0.55000000000000004">
      <c r="A45" s="75"/>
      <c r="B45" s="101" t="s">
        <v>65</v>
      </c>
      <c r="C45" s="97">
        <f>C42+C44</f>
        <v>5400000</v>
      </c>
      <c r="D45" s="98" t="s">
        <v>6</v>
      </c>
      <c r="E45" s="94"/>
      <c r="F45" s="166"/>
    </row>
    <row r="46" spans="1:13" ht="15" thickTop="1" x14ac:dyDescent="0.5"/>
  </sheetData>
  <mergeCells count="16">
    <mergeCell ref="F44:F45"/>
    <mergeCell ref="I4:L4"/>
    <mergeCell ref="I8:L8"/>
    <mergeCell ref="A16:B16"/>
    <mergeCell ref="A19:B19"/>
    <mergeCell ref="C14:D14"/>
    <mergeCell ref="A25:B25"/>
    <mergeCell ref="A26:B26"/>
    <mergeCell ref="A14:B14"/>
    <mergeCell ref="A32:B32"/>
    <mergeCell ref="A28:B28"/>
    <mergeCell ref="A30:B30"/>
    <mergeCell ref="A20:B20"/>
    <mergeCell ref="A22:A23"/>
    <mergeCell ref="A24:B24"/>
    <mergeCell ref="A31:B31"/>
  </mergeCells>
  <phoneticPr fontId="2"/>
  <pageMargins left="0.31496062992125984" right="0.31496062992125984" top="0.74803149606299213" bottom="0.15748031496062992" header="0" footer="0"/>
  <pageSetup paperSize="9" scale="43" orientation="portrait" copies="6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8CDA1-AD1A-4878-9C5F-A6A673F2759B}">
  <sheetPr>
    <tabColor rgb="FFFFFF00"/>
    <pageSetUpPr fitToPage="1"/>
  </sheetPr>
  <dimension ref="B1:Q22"/>
  <sheetViews>
    <sheetView showGridLines="0" tabSelected="1" zoomScale="70" zoomScaleNormal="70" zoomScalePageLayoutView="60" workbookViewId="0">
      <selection activeCell="G5" sqref="G5"/>
    </sheetView>
  </sheetViews>
  <sheetFormatPr defaultColWidth="12.7265625" defaultRowHeight="19.2" x14ac:dyDescent="0.5"/>
  <cols>
    <col min="1" max="1" width="12.7265625" style="139"/>
    <col min="2" max="2" width="16.453125" style="139" customWidth="1"/>
    <col min="3" max="3" width="17.08984375" style="139" customWidth="1"/>
    <col min="4" max="4" width="16" style="139" customWidth="1"/>
    <col min="5" max="5" width="2.08984375" style="139" customWidth="1"/>
    <col min="6" max="6" width="24.54296875" style="139" customWidth="1"/>
    <col min="7" max="7" width="18.90625" style="139" customWidth="1"/>
    <col min="8" max="8" width="2.36328125" style="139" customWidth="1"/>
    <col min="9" max="9" width="7.26953125" style="139" customWidth="1"/>
    <col min="10" max="10" width="8" style="139" customWidth="1"/>
    <col min="11" max="11" width="37.453125" style="139" customWidth="1"/>
    <col min="12" max="12" width="27" style="139" customWidth="1"/>
    <col min="13" max="13" width="12.1796875" style="268" customWidth="1"/>
    <col min="14" max="14" width="42.81640625" style="267" bestFit="1" customWidth="1"/>
    <col min="15" max="15" width="4" style="139" customWidth="1"/>
    <col min="16" max="17" width="12.7265625" style="139"/>
    <col min="18" max="18" width="12.7265625" style="139" customWidth="1"/>
    <col min="19" max="19" width="16.7265625" style="139" customWidth="1"/>
    <col min="20" max="16384" width="12.7265625" style="139"/>
  </cols>
  <sheetData>
    <row r="1" spans="2:17" s="218" customFormat="1" ht="29.55" customHeight="1" thickBot="1" x14ac:dyDescent="0.55000000000000004">
      <c r="B1" s="214" t="s">
        <v>116</v>
      </c>
      <c r="C1" s="214"/>
      <c r="D1" s="215"/>
      <c r="E1" s="215"/>
      <c r="F1" s="216" t="s">
        <v>108</v>
      </c>
      <c r="G1" s="216"/>
      <c r="H1" s="216"/>
      <c r="I1" s="140"/>
      <c r="J1" s="217" t="s">
        <v>34</v>
      </c>
      <c r="K1" s="217"/>
      <c r="L1" s="217"/>
      <c r="M1" s="217"/>
      <c r="Q1" s="219"/>
    </row>
    <row r="2" spans="2:17" s="225" customFormat="1" ht="26.4" customHeight="1" thickBot="1" x14ac:dyDescent="0.55000000000000004">
      <c r="B2" s="220" t="s">
        <v>78</v>
      </c>
      <c r="C2" s="277">
        <v>15</v>
      </c>
      <c r="D2" s="221"/>
      <c r="E2" s="221"/>
      <c r="F2" s="222" t="s">
        <v>94</v>
      </c>
      <c r="G2" s="271">
        <v>150000</v>
      </c>
      <c r="H2" s="223"/>
      <c r="I2" s="141" t="s">
        <v>89</v>
      </c>
      <c r="J2" s="210" t="s">
        <v>40</v>
      </c>
      <c r="K2" s="211"/>
      <c r="L2" s="132">
        <f>+C9+C13</f>
        <v>1513875</v>
      </c>
      <c r="M2" s="269" t="s">
        <v>121</v>
      </c>
      <c r="N2" s="224"/>
    </row>
    <row r="3" spans="2:17" s="218" customFormat="1" ht="26.4" customHeight="1" thickTop="1" thickBot="1" x14ac:dyDescent="0.55000000000000004">
      <c r="B3" s="226" t="s">
        <v>79</v>
      </c>
      <c r="C3" s="278">
        <v>10</v>
      </c>
      <c r="D3" s="215"/>
      <c r="E3" s="215"/>
      <c r="F3" s="227" t="s">
        <v>120</v>
      </c>
      <c r="G3" s="272">
        <v>1500</v>
      </c>
      <c r="H3" s="228"/>
      <c r="I3" s="142" t="s">
        <v>90</v>
      </c>
      <c r="J3" s="212" t="s">
        <v>97</v>
      </c>
      <c r="K3" s="213"/>
      <c r="L3" s="159">
        <f>+D20</f>
        <v>462206.25</v>
      </c>
      <c r="M3" s="160">
        <f>L3/L2</f>
        <v>0.30531335149863759</v>
      </c>
      <c r="N3" s="229"/>
    </row>
    <row r="4" spans="2:17" s="218" customFormat="1" ht="26.4" customHeight="1" thickTop="1" x14ac:dyDescent="0.5">
      <c r="B4" s="226" t="s">
        <v>80</v>
      </c>
      <c r="C4" s="279">
        <v>15000</v>
      </c>
      <c r="D4" s="215"/>
      <c r="E4" s="215"/>
      <c r="F4" s="230" t="s">
        <v>82</v>
      </c>
      <c r="G4" s="273">
        <v>10</v>
      </c>
      <c r="H4" s="231"/>
      <c r="I4" s="145" t="s">
        <v>92</v>
      </c>
      <c r="J4" s="203" t="s">
        <v>95</v>
      </c>
      <c r="K4" s="204"/>
      <c r="L4" s="143">
        <f>+G2</f>
        <v>150000</v>
      </c>
      <c r="M4" s="144">
        <f>L4/L2</f>
        <v>9.9083477830071834E-2</v>
      </c>
      <c r="N4" s="232"/>
    </row>
    <row r="5" spans="2:17" s="218" customFormat="1" ht="26.4" customHeight="1" x14ac:dyDescent="0.5">
      <c r="B5" s="226" t="s">
        <v>81</v>
      </c>
      <c r="C5" s="280"/>
      <c r="D5" s="215"/>
      <c r="E5" s="215"/>
      <c r="F5" s="230" t="s">
        <v>83</v>
      </c>
      <c r="G5" s="274">
        <f>+C8</f>
        <v>25</v>
      </c>
      <c r="H5" s="231"/>
      <c r="I5" s="146" t="s">
        <v>93</v>
      </c>
      <c r="J5" s="205" t="s">
        <v>96</v>
      </c>
      <c r="K5" s="206"/>
      <c r="L5" s="133">
        <f>+G6</f>
        <v>375000</v>
      </c>
      <c r="M5" s="134">
        <f>L5/L2</f>
        <v>0.24770869457517958</v>
      </c>
      <c r="N5" s="233"/>
    </row>
    <row r="6" spans="2:17" s="218" customFormat="1" ht="26.4" customHeight="1" thickBot="1" x14ac:dyDescent="0.55000000000000004">
      <c r="B6" s="234" t="s">
        <v>117</v>
      </c>
      <c r="C6" s="235">
        <f>+C4*C3+C5</f>
        <v>150000</v>
      </c>
      <c r="D6" s="215"/>
      <c r="E6" s="215"/>
      <c r="F6" s="236" t="s">
        <v>119</v>
      </c>
      <c r="G6" s="237">
        <f>+G3*G4*G5</f>
        <v>375000</v>
      </c>
      <c r="H6" s="238"/>
      <c r="I6" s="147" t="s">
        <v>98</v>
      </c>
      <c r="J6" s="186" t="s">
        <v>99</v>
      </c>
      <c r="K6" s="187"/>
      <c r="L6" s="137">
        <f>SUM(L4:L5)</f>
        <v>525000</v>
      </c>
      <c r="M6" s="161">
        <f>L6/L2</f>
        <v>0.3467921724052514</v>
      </c>
      <c r="N6" s="239"/>
    </row>
    <row r="7" spans="2:17" s="218" customFormat="1" ht="26.4" customHeight="1" thickTop="1" thickBot="1" x14ac:dyDescent="0.55000000000000004">
      <c r="B7" s="216" t="s">
        <v>118</v>
      </c>
      <c r="C7" s="215"/>
      <c r="D7" s="215"/>
      <c r="E7" s="215"/>
      <c r="F7" s="218" t="s">
        <v>109</v>
      </c>
      <c r="H7" s="240"/>
      <c r="I7" s="158" t="s">
        <v>100</v>
      </c>
      <c r="J7" s="207" t="s">
        <v>101</v>
      </c>
      <c r="K7" s="208"/>
      <c r="L7" s="159">
        <f>L2*M7+G8</f>
        <v>227081.25</v>
      </c>
      <c r="M7" s="162">
        <f>IF(L2&lt;=1500000,0.2,IF(L2&lt;3000000,0.15,0.1))</f>
        <v>0.15</v>
      </c>
      <c r="N7" s="232"/>
    </row>
    <row r="8" spans="2:17" s="218" customFormat="1" ht="26.4" customHeight="1" thickTop="1" thickBot="1" x14ac:dyDescent="0.55000000000000004">
      <c r="B8" s="241" t="s">
        <v>72</v>
      </c>
      <c r="C8" s="281">
        <v>25</v>
      </c>
      <c r="D8" s="215"/>
      <c r="E8" s="215"/>
      <c r="F8" s="242" t="s">
        <v>110</v>
      </c>
      <c r="G8" s="275"/>
      <c r="H8" s="231"/>
      <c r="I8" s="148" t="s">
        <v>102</v>
      </c>
      <c r="J8" s="190" t="s">
        <v>106</v>
      </c>
      <c r="K8" s="190"/>
      <c r="L8" s="156">
        <f>+L2-(L3+L6+L7)</f>
        <v>299587.5</v>
      </c>
      <c r="M8" s="157">
        <f>+L8/L2</f>
        <v>0.19789447609611097</v>
      </c>
      <c r="N8" s="243"/>
    </row>
    <row r="9" spans="2:17" s="218" customFormat="1" ht="26.4" customHeight="1" thickTop="1" thickBot="1" x14ac:dyDescent="0.55000000000000004">
      <c r="B9" s="244" t="s">
        <v>73</v>
      </c>
      <c r="C9" s="245">
        <f>+C2*C10*C12*C11*C8</f>
        <v>445500</v>
      </c>
      <c r="D9" s="215"/>
      <c r="E9" s="215"/>
      <c r="F9" s="246" t="s">
        <v>111</v>
      </c>
      <c r="G9" s="276"/>
      <c r="H9" s="215"/>
      <c r="I9" s="155" t="s">
        <v>103</v>
      </c>
      <c r="J9" s="188" t="s">
        <v>112</v>
      </c>
      <c r="K9" s="189"/>
      <c r="L9" s="135">
        <f>+C6+G9</f>
        <v>150000</v>
      </c>
      <c r="M9" s="136">
        <f>L9/L2</f>
        <v>9.9083477830071834E-2</v>
      </c>
      <c r="N9" s="232"/>
    </row>
    <row r="10" spans="2:17" s="218" customFormat="1" ht="26.4" customHeight="1" thickBot="1" x14ac:dyDescent="0.55000000000000004">
      <c r="B10" s="247" t="s">
        <v>74</v>
      </c>
      <c r="C10" s="282">
        <v>1.2</v>
      </c>
      <c r="D10" s="215"/>
      <c r="E10" s="215"/>
      <c r="F10" s="215" t="s">
        <v>105</v>
      </c>
      <c r="G10" s="215"/>
      <c r="H10" s="215"/>
      <c r="I10" s="153" t="s">
        <v>104</v>
      </c>
      <c r="J10" s="209" t="s">
        <v>107</v>
      </c>
      <c r="K10" s="202"/>
      <c r="L10" s="154">
        <f>+L8-L9</f>
        <v>149587.5</v>
      </c>
      <c r="M10" s="138">
        <f>+L10/L2</f>
        <v>9.8810998266039132E-2</v>
      </c>
      <c r="N10" s="232"/>
    </row>
    <row r="11" spans="2:17" s="218" customFormat="1" ht="26.4" customHeight="1" thickBot="1" x14ac:dyDescent="0.55000000000000004">
      <c r="B11" s="247" t="s">
        <v>75</v>
      </c>
      <c r="C11" s="283">
        <v>1100</v>
      </c>
      <c r="D11" s="215"/>
      <c r="E11" s="215"/>
      <c r="F11" s="248" t="s">
        <v>86</v>
      </c>
      <c r="G11" s="249">
        <f>(C2*C10*C12*C8)+(C2*C14*C16*C8)</f>
        <v>693.75</v>
      </c>
      <c r="H11" s="215"/>
      <c r="I11" s="139"/>
      <c r="J11" s="149"/>
      <c r="K11" s="149"/>
      <c r="L11" s="150"/>
      <c r="M11" s="151"/>
      <c r="N11" s="232"/>
    </row>
    <row r="12" spans="2:17" s="218" customFormat="1" ht="26.4" customHeight="1" thickBot="1" x14ac:dyDescent="0.55000000000000004">
      <c r="B12" s="250" t="s">
        <v>76</v>
      </c>
      <c r="C12" s="284">
        <v>0.9</v>
      </c>
      <c r="D12" s="215"/>
      <c r="E12" s="215"/>
      <c r="F12" s="251" t="s">
        <v>75</v>
      </c>
      <c r="G12" s="252">
        <f>B20/((C2*C10*C12*C8)+(C2*C14*C16*C8))</f>
        <v>2182.1621621621621</v>
      </c>
      <c r="H12" s="215"/>
      <c r="I12" s="197" t="s">
        <v>27</v>
      </c>
      <c r="J12" s="198"/>
      <c r="K12" s="199"/>
      <c r="L12" s="270">
        <v>5</v>
      </c>
      <c r="M12" s="152"/>
      <c r="N12" s="232"/>
    </row>
    <row r="13" spans="2:17" s="218" customFormat="1" ht="26.4" customHeight="1" thickTop="1" x14ac:dyDescent="0.5">
      <c r="B13" s="244" t="s">
        <v>77</v>
      </c>
      <c r="C13" s="245">
        <f>+C2*C8*C14*C16*C15</f>
        <v>1068375</v>
      </c>
      <c r="D13" s="215"/>
      <c r="E13" s="215"/>
      <c r="F13" s="251" t="s">
        <v>87</v>
      </c>
      <c r="G13" s="253">
        <f>(M3+M6+M7)</f>
        <v>0.80210552390388901</v>
      </c>
      <c r="H13" s="215"/>
      <c r="I13" s="194" t="s">
        <v>62</v>
      </c>
      <c r="J13" s="195"/>
      <c r="K13" s="196"/>
      <c r="L13" s="163">
        <f>L14*L12*12</f>
        <v>6462180</v>
      </c>
      <c r="M13" s="152"/>
      <c r="N13" s="232"/>
    </row>
    <row r="14" spans="2:17" s="218" customFormat="1" ht="26.4" customHeight="1" x14ac:dyDescent="0.5">
      <c r="B14" s="247" t="s">
        <v>74</v>
      </c>
      <c r="C14" s="282">
        <v>1.1000000000000001</v>
      </c>
      <c r="D14" s="215"/>
      <c r="E14" s="215"/>
      <c r="F14" s="251" t="s">
        <v>85</v>
      </c>
      <c r="G14" s="252">
        <f>+G12*G13</f>
        <v>1750.3243243243242</v>
      </c>
      <c r="H14" s="215"/>
      <c r="I14" s="194" t="s">
        <v>70</v>
      </c>
      <c r="J14" s="195"/>
      <c r="K14" s="196"/>
      <c r="L14" s="163">
        <f>L10*0.8*0.9</f>
        <v>107703</v>
      </c>
      <c r="M14" s="152"/>
      <c r="N14" s="232"/>
    </row>
    <row r="15" spans="2:17" s="218" customFormat="1" ht="26.4" customHeight="1" x14ac:dyDescent="0.5">
      <c r="B15" s="247" t="s">
        <v>75</v>
      </c>
      <c r="C15" s="283">
        <v>3700</v>
      </c>
      <c r="D15" s="215"/>
      <c r="E15" s="215"/>
      <c r="F15" s="251" t="s">
        <v>84</v>
      </c>
      <c r="G15" s="254">
        <f>G12-G14</f>
        <v>431.83783783783792</v>
      </c>
      <c r="H15" s="215"/>
      <c r="I15" s="191" t="s">
        <v>115</v>
      </c>
      <c r="J15" s="192"/>
      <c r="K15" s="193"/>
      <c r="L15" s="163">
        <f>L13/6*4</f>
        <v>4308120</v>
      </c>
      <c r="M15" s="152"/>
      <c r="N15" s="232"/>
    </row>
    <row r="16" spans="2:17" s="218" customFormat="1" ht="26.4" customHeight="1" thickBot="1" x14ac:dyDescent="0.55000000000000004">
      <c r="B16" s="255" t="s">
        <v>76</v>
      </c>
      <c r="C16" s="285">
        <v>0.7</v>
      </c>
      <c r="D16" s="215"/>
      <c r="E16" s="215"/>
      <c r="F16" s="251" t="s">
        <v>88</v>
      </c>
      <c r="G16" s="254">
        <f>+L9</f>
        <v>150000</v>
      </c>
      <c r="H16" s="215"/>
      <c r="I16" s="200" t="s">
        <v>65</v>
      </c>
      <c r="J16" s="201"/>
      <c r="K16" s="202"/>
      <c r="L16" s="164">
        <f>L13+L15</f>
        <v>10770300</v>
      </c>
      <c r="M16" s="152"/>
      <c r="N16" s="232"/>
    </row>
    <row r="17" spans="2:14" s="218" customFormat="1" ht="26.4" customHeight="1" thickBot="1" x14ac:dyDescent="0.55000000000000004">
      <c r="B17" s="216" t="s">
        <v>91</v>
      </c>
      <c r="C17" s="216"/>
      <c r="D17" s="216"/>
      <c r="E17" s="215"/>
      <c r="F17" s="251" t="s">
        <v>113</v>
      </c>
      <c r="G17" s="256">
        <f>+G16/G15</f>
        <v>347.35260983852788</v>
      </c>
      <c r="H17" s="215"/>
      <c r="I17" s="139"/>
      <c r="M17" s="152"/>
      <c r="N17" s="232"/>
    </row>
    <row r="18" spans="2:14" s="218" customFormat="1" ht="26.4" customHeight="1" thickBot="1" x14ac:dyDescent="0.55000000000000004">
      <c r="B18" s="257">
        <f>+C9</f>
        <v>445500</v>
      </c>
      <c r="C18" s="286">
        <v>0.39</v>
      </c>
      <c r="D18" s="258">
        <f>+C18*B18</f>
        <v>173745</v>
      </c>
      <c r="E18" s="215"/>
      <c r="F18" s="259" t="s">
        <v>114</v>
      </c>
      <c r="G18" s="260">
        <f>+G17*G12</f>
        <v>757979.72211791191</v>
      </c>
      <c r="H18" s="215"/>
      <c r="I18" s="139"/>
      <c r="M18" s="152"/>
      <c r="N18" s="232"/>
    </row>
    <row r="19" spans="2:14" s="218" customFormat="1" ht="26.4" customHeight="1" thickBot="1" x14ac:dyDescent="0.55000000000000004">
      <c r="B19" s="261">
        <f>+C13</f>
        <v>1068375</v>
      </c>
      <c r="C19" s="287">
        <v>0.27</v>
      </c>
      <c r="D19" s="262">
        <f>+C19*B19</f>
        <v>288461.25</v>
      </c>
      <c r="E19" s="215"/>
      <c r="F19" s="215"/>
      <c r="G19" s="215"/>
      <c r="H19" s="215"/>
      <c r="I19" s="139"/>
      <c r="M19" s="152"/>
      <c r="N19" s="232"/>
    </row>
    <row r="20" spans="2:14" s="218" customFormat="1" ht="26.4" customHeight="1" thickTop="1" thickBot="1" x14ac:dyDescent="0.55000000000000004">
      <c r="B20" s="263">
        <f>SUM(B18:B19)</f>
        <v>1513875</v>
      </c>
      <c r="C20" s="264">
        <f>+D20/B20</f>
        <v>0.30531335149863759</v>
      </c>
      <c r="D20" s="265">
        <f>SUM(D18:D19)</f>
        <v>462206.25</v>
      </c>
      <c r="E20" s="215"/>
      <c r="F20" s="215"/>
      <c r="G20" s="215"/>
      <c r="H20" s="215"/>
      <c r="I20" s="139"/>
      <c r="M20" s="152"/>
      <c r="N20" s="266"/>
    </row>
    <row r="21" spans="2:14" s="218" customFormat="1" ht="29.55" customHeight="1" x14ac:dyDescent="0.5">
      <c r="B21" s="215"/>
      <c r="C21" s="215"/>
      <c r="D21" s="215"/>
      <c r="E21" s="215"/>
      <c r="F21" s="215"/>
      <c r="G21" s="215"/>
      <c r="H21" s="215"/>
      <c r="I21" s="139"/>
      <c r="M21" s="152"/>
      <c r="N21" s="266"/>
    </row>
    <row r="22" spans="2:14" x14ac:dyDescent="0.5">
      <c r="M22" s="152"/>
    </row>
  </sheetData>
  <sheetProtection sheet="1" objects="1" scenarios="1"/>
  <mergeCells count="16">
    <mergeCell ref="B1:C1"/>
    <mergeCell ref="J4:K4"/>
    <mergeCell ref="J5:K5"/>
    <mergeCell ref="J7:K7"/>
    <mergeCell ref="J10:K10"/>
    <mergeCell ref="J2:K2"/>
    <mergeCell ref="J3:K3"/>
    <mergeCell ref="N20:N21"/>
    <mergeCell ref="J6:K6"/>
    <mergeCell ref="J9:K9"/>
    <mergeCell ref="J8:K8"/>
    <mergeCell ref="I15:K15"/>
    <mergeCell ref="I14:K14"/>
    <mergeCell ref="I13:K13"/>
    <mergeCell ref="I12:K12"/>
    <mergeCell ref="I16:K16"/>
  </mergeCells>
  <phoneticPr fontId="23"/>
  <pageMargins left="0.31496062992125984" right="0.31496062992125984" top="0.74803149606299213" bottom="0.15748031496062992" header="0" footer="0"/>
  <pageSetup paperSize="9" scale="43" orientation="portrait" copies="6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月間PL通常（入力用）</vt:lpstr>
      <vt:lpstr>月間PL通常（入力用）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kshoji970127@outlook.jp</dc:creator>
  <cp:keywords/>
  <dc:description/>
  <cp:lastModifiedBy>中島　孝治</cp:lastModifiedBy>
  <cp:revision/>
  <dcterms:created xsi:type="dcterms:W3CDTF">2024-04-05T12:31:46Z</dcterms:created>
  <dcterms:modified xsi:type="dcterms:W3CDTF">2025-04-25T01:55:48Z</dcterms:modified>
  <cp:category/>
  <cp:contentStatus/>
</cp:coreProperties>
</file>